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omments2.xml" ContentType="application/vnd.openxmlformats-officedocument.spreadsheetml.comments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0.xml" ContentType="application/vnd.openxmlformats-officedocument.drawing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comments3.xml" ContentType="application/vnd.openxmlformats-officedocument.spreadsheetml.comments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608FA47-B885-481B-8942-C59AD936A96D}" xr6:coauthVersionLast="47" xr6:coauthVersionMax="47" xr10:uidLastSave="{00000000-0000-0000-0000-000000000000}"/>
  <bookViews>
    <workbookView xWindow="-120" yWindow="-120" windowWidth="29040" windowHeight="15840" tabRatio="901" firstSheet="60" activeTab="60" xr2:uid="{00000000-000D-0000-FFFF-FFFF00000000}"/>
  </bookViews>
  <sheets>
    <sheet name="18" sheetId="65" r:id="rId1"/>
    <sheet name="20" sheetId="3" r:id="rId2"/>
    <sheet name="22" sheetId="4" r:id="rId3"/>
    <sheet name="24" sheetId="67" r:id="rId4"/>
    <sheet name="27" sheetId="6" r:id="rId5"/>
    <sheet name="30" sheetId="7" r:id="rId6"/>
    <sheet name="31" sheetId="8" r:id="rId7"/>
    <sheet name="32" sheetId="9" r:id="rId8"/>
    <sheet name="33" sheetId="10" r:id="rId9"/>
    <sheet name="39" sheetId="11" r:id="rId10"/>
    <sheet name="40" sheetId="12" r:id="rId11"/>
    <sheet name="41" sheetId="13" r:id="rId12"/>
    <sheet name="42" sheetId="14" r:id="rId13"/>
    <sheet name="44" sheetId="15" r:id="rId14"/>
    <sheet name="46" sheetId="16" r:id="rId15"/>
    <sheet name="47" sheetId="17" r:id="rId16"/>
    <sheet name="48" sheetId="18" r:id="rId17"/>
    <sheet name="49" sheetId="19" r:id="rId18"/>
    <sheet name="50" sheetId="20" r:id="rId19"/>
    <sheet name="52" sheetId="21" r:id="rId20"/>
    <sheet name="54" sheetId="22" r:id="rId21"/>
    <sheet name="55" sheetId="23" r:id="rId22"/>
    <sheet name="56 " sheetId="24" r:id="rId23"/>
    <sheet name="اهم دلایل باری" sheetId="25" r:id="rId24"/>
    <sheet name="64" sheetId="30" r:id="rId25"/>
    <sheet name="65" sheetId="31" r:id="rId26"/>
    <sheet name="66" sheetId="32" r:id="rId27"/>
    <sheet name="67" sheetId="33" r:id="rId28"/>
    <sheet name="68" sheetId="34" r:id="rId29"/>
    <sheet name="69" sheetId="35" r:id="rId30"/>
    <sheet name="70" sheetId="36" r:id="rId31"/>
    <sheet name="71" sheetId="37" r:id="rId32"/>
    <sheet name="72" sheetId="38" r:id="rId33"/>
    <sheet name="73" sheetId="39" r:id="rId34"/>
    <sheet name="74" sheetId="40" r:id="rId35"/>
    <sheet name="77" sheetId="41" r:id="rId36"/>
    <sheet name="80" sheetId="92" r:id="rId37"/>
    <sheet name="81" sheetId="68" r:id="rId38"/>
    <sheet name="82" sheetId="119" r:id="rId39"/>
    <sheet name="83" sheetId="70" r:id="rId40"/>
    <sheet name="84" sheetId="71" r:id="rId41"/>
    <sheet name="85" sheetId="84" r:id="rId42"/>
    <sheet name="86" sheetId="93" r:id="rId43"/>
    <sheet name="87" sheetId="94" r:id="rId44"/>
    <sheet name="88" sheetId="26" r:id="rId45"/>
    <sheet name="89" sheetId="95" r:id="rId46"/>
    <sheet name="90" sheetId="96" r:id="rId47"/>
    <sheet name="90j" sheetId="97" r:id="rId48"/>
    <sheet name="91" sheetId="72" r:id="rId49"/>
    <sheet name="91 (2)" sheetId="98" r:id="rId50"/>
    <sheet name="92" sheetId="99" r:id="rId51"/>
    <sheet name="93" sheetId="73" r:id="rId52"/>
    <sheet name="94" sheetId="74" r:id="rId53"/>
    <sheet name="95" sheetId="83" r:id="rId54"/>
    <sheet name="95 (2)" sheetId="75" r:id="rId55"/>
    <sheet name="96" sheetId="76" r:id="rId56"/>
    <sheet name="97j" sheetId="77" r:id="rId57"/>
    <sheet name="98j" sheetId="85" r:id="rId58"/>
    <sheet name="98 (2)" sheetId="86" r:id="rId59"/>
    <sheet name="100-103" sheetId="89" r:id="rId60"/>
    <sheet name="104" sheetId="90" r:id="rId61"/>
    <sheet name="105" sheetId="91" r:id="rId62"/>
    <sheet name="106j" sheetId="109" r:id="rId63"/>
    <sheet name="107" sheetId="110" r:id="rId64"/>
    <sheet name="106" sheetId="103" r:id="rId65"/>
    <sheet name="107 (2)" sheetId="104" r:id="rId66"/>
    <sheet name="111" sheetId="106" r:id="rId67"/>
    <sheet name="112" sheetId="105" r:id="rId68"/>
    <sheet name="115" sheetId="107" r:id="rId69"/>
    <sheet name="116" sheetId="108" r:id="rId70"/>
    <sheet name="122" sheetId="101" r:id="rId71"/>
    <sheet name="123" sheetId="102" r:id="rId72"/>
    <sheet name="128" sheetId="42" r:id="rId73"/>
    <sheet name="129" sheetId="79" r:id="rId74"/>
    <sheet name="129 (2)" sheetId="43" r:id="rId75"/>
    <sheet name="130" sheetId="78" r:id="rId76"/>
    <sheet name="130 (2)" sheetId="44" r:id="rId77"/>
    <sheet name="131" sheetId="45" r:id="rId78"/>
    <sheet name="132" sheetId="80" r:id="rId79"/>
    <sheet name="132(2)" sheetId="81" r:id="rId80"/>
    <sheet name="133" sheetId="82" r:id="rId81"/>
    <sheet name="134" sheetId="100" r:id="rId82"/>
    <sheet name="135" sheetId="111" r:id="rId83"/>
    <sheet name="135(2)" sheetId="112" r:id="rId84"/>
    <sheet name="95 (4)" sheetId="115" r:id="rId85"/>
    <sheet name="96 (3)" sheetId="116" r:id="rId86"/>
  </sheets>
  <externalReferences>
    <externalReference r:id="rId87"/>
    <externalReference r:id="rId88"/>
    <externalReference r:id="rId89"/>
    <externalReference r:id="rId90"/>
    <externalReference r:id="rId91"/>
  </externalReferences>
  <definedNames>
    <definedName name="_xlnm._FilterDatabase" localSheetId="59" hidden="1">'100-103'!$A$94:$U$142</definedName>
    <definedName name="_xlnm._FilterDatabase" localSheetId="71" hidden="1">'123'!$H$1:$H$111</definedName>
    <definedName name="_xlnm._FilterDatabase" localSheetId="55" hidden="1">'96'!$B$5:$I$26</definedName>
    <definedName name="_xlnm._FilterDatabase" localSheetId="23" hidden="1">'اهم دلایل باری'!$D$2:$F$70</definedName>
    <definedName name="farei" localSheetId="62">[1]Sheet5!$C$5:$C$6</definedName>
    <definedName name="farei" localSheetId="63">[1]Sheet5!$C$5:$C$6</definedName>
    <definedName name="farei" localSheetId="36">#REF!</definedName>
    <definedName name="farei" localSheetId="45">#REF!</definedName>
    <definedName name="farei" localSheetId="46">#REF!</definedName>
    <definedName name="farei" localSheetId="47">#REF!</definedName>
    <definedName name="farei" localSheetId="48">#REF!</definedName>
    <definedName name="farei" localSheetId="49">#REF!</definedName>
    <definedName name="farei" localSheetId="50">#REF!</definedName>
    <definedName name="farei">[1]Sheet5!$C$5:$C$6</definedName>
    <definedName name="_xlnm.Print_Area" localSheetId="1">'20'!$A$1:$P$19</definedName>
    <definedName name="_xlnm.Print_Area" localSheetId="2">'22'!$A$1:$AA$15</definedName>
    <definedName name="_xlnm.Print_Area" localSheetId="24">'64'!$A$1:$W$17</definedName>
    <definedName name="_xlnm.Print_Area" localSheetId="26">'66'!#REF!</definedName>
    <definedName name="_xlnm.Print_Area" localSheetId="44">'88'!$A$1:$J$27</definedName>
    <definedName name="_xlnm.Print_Area" localSheetId="84">'95 (4)'!$A$1:$H$30</definedName>
    <definedName name="_xlnm.Print_Area" localSheetId="85">'96 (3)'!$A$1:$I$36</definedName>
    <definedName name="_xlnm.Print_Area" localSheetId="58">'98 (2)'!$A$1:$E$27</definedName>
    <definedName name="_xlnm.Print_Area" localSheetId="57">'98j'!$A$1:$I$29</definedName>
    <definedName name="_xlnm.Print_Titles" localSheetId="4">'27'!$1:$2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19" l="1"/>
  <c r="E7" i="119"/>
  <c r="E8" i="119"/>
  <c r="E9" i="119"/>
  <c r="E10" i="119"/>
  <c r="E11" i="119"/>
  <c r="E12" i="119"/>
  <c r="E13" i="119"/>
  <c r="E14" i="119"/>
  <c r="E15" i="119"/>
  <c r="E16" i="119"/>
  <c r="E17" i="119"/>
  <c r="E18" i="119"/>
  <c r="E19" i="119"/>
  <c r="E20" i="119"/>
  <c r="E21" i="119"/>
  <c r="E22" i="119"/>
  <c r="E23" i="119"/>
  <c r="E24" i="119"/>
  <c r="E25" i="119"/>
  <c r="E5" i="119"/>
  <c r="G17" i="68"/>
  <c r="G13" i="68"/>
  <c r="G10" i="68"/>
  <c r="G6" i="68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D18" i="4"/>
  <c r="D19" i="4"/>
  <c r="D17" i="4"/>
  <c r="AA12" i="4"/>
  <c r="AA13" i="4"/>
  <c r="G32" i="116" l="1"/>
  <c r="H23" i="115"/>
  <c r="B27" i="115"/>
  <c r="G23" i="115"/>
  <c r="X13" i="92" l="1"/>
  <c r="AC4" i="4"/>
  <c r="AC5" i="4" s="1"/>
  <c r="D10" i="70"/>
  <c r="C10" i="70"/>
  <c r="D26" i="119"/>
  <c r="C26" i="119"/>
  <c r="B26" i="119"/>
  <c r="E26" i="119" l="1"/>
  <c r="W20" i="107" l="1"/>
  <c r="W21" i="107" s="1"/>
  <c r="P6" i="3" l="1"/>
  <c r="P5" i="3"/>
  <c r="P4" i="3"/>
  <c r="G31" i="116" l="1"/>
  <c r="G30" i="116"/>
  <c r="G29" i="116"/>
  <c r="G28" i="116"/>
  <c r="G27" i="116"/>
  <c r="G26" i="116"/>
  <c r="G25" i="116"/>
  <c r="G24" i="116"/>
  <c r="G23" i="116"/>
  <c r="E27" i="115"/>
  <c r="D27" i="115"/>
  <c r="C27" i="115"/>
  <c r="F26" i="115"/>
  <c r="H26" i="115" s="1"/>
  <c r="F25" i="115"/>
  <c r="H25" i="115" s="1"/>
  <c r="F24" i="115"/>
  <c r="H24" i="115" s="1"/>
  <c r="F22" i="115"/>
  <c r="G22" i="115" s="1"/>
  <c r="F21" i="115"/>
  <c r="F20" i="115"/>
  <c r="G20" i="115" s="1"/>
  <c r="F19" i="115"/>
  <c r="F18" i="115"/>
  <c r="G18" i="115" s="1"/>
  <c r="F17" i="115"/>
  <c r="F16" i="115"/>
  <c r="G16" i="115" s="1"/>
  <c r="F15" i="115"/>
  <c r="F14" i="115"/>
  <c r="G14" i="115" s="1"/>
  <c r="F13" i="115"/>
  <c r="F12" i="115"/>
  <c r="G12" i="115" s="1"/>
  <c r="F11" i="115"/>
  <c r="F10" i="115"/>
  <c r="G10" i="115" s="1"/>
  <c r="F9" i="115"/>
  <c r="H9" i="115" s="1"/>
  <c r="F8" i="115"/>
  <c r="G8" i="115" s="1"/>
  <c r="G7" i="115"/>
  <c r="F7" i="115"/>
  <c r="H7" i="115" s="1"/>
  <c r="F6" i="115"/>
  <c r="G6" i="115" s="1"/>
  <c r="F5" i="115"/>
  <c r="H5" i="115" s="1"/>
  <c r="H11" i="115" l="1"/>
  <c r="G11" i="115"/>
  <c r="H15" i="115"/>
  <c r="G15" i="115"/>
  <c r="H19" i="115"/>
  <c r="G19" i="115"/>
  <c r="G5" i="115"/>
  <c r="G9" i="115"/>
  <c r="H13" i="115"/>
  <c r="G13" i="115"/>
  <c r="H17" i="115"/>
  <c r="G17" i="115"/>
  <c r="H21" i="115"/>
  <c r="G21" i="115"/>
  <c r="H6" i="115"/>
  <c r="H8" i="115"/>
  <c r="H10" i="115"/>
  <c r="H12" i="115"/>
  <c r="H14" i="115"/>
  <c r="H16" i="115"/>
  <c r="H18" i="115"/>
  <c r="H20" i="115"/>
  <c r="H22" i="115"/>
  <c r="F27" i="115"/>
  <c r="G27" i="115" l="1"/>
  <c r="H27" i="115"/>
  <c r="E15" i="111" l="1"/>
  <c r="D15" i="111"/>
  <c r="B15" i="111"/>
  <c r="A15" i="111"/>
  <c r="F29" i="110" l="1"/>
  <c r="A29" i="110"/>
  <c r="G12" i="109"/>
  <c r="F12" i="109"/>
  <c r="E12" i="109"/>
  <c r="E33" i="108" l="1"/>
  <c r="C33" i="108"/>
  <c r="B33" i="108"/>
  <c r="F32" i="108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F6" i="108"/>
  <c r="F5" i="108"/>
  <c r="F4" i="108"/>
  <c r="F33" i="108" s="1"/>
  <c r="U15" i="107"/>
  <c r="T15" i="107"/>
  <c r="S15" i="107"/>
  <c r="R15" i="107"/>
  <c r="Q15" i="107"/>
  <c r="P15" i="107"/>
  <c r="O15" i="107"/>
  <c r="N15" i="107"/>
  <c r="M15" i="107"/>
  <c r="L15" i="107"/>
  <c r="K15" i="107"/>
  <c r="J15" i="107"/>
  <c r="I15" i="107"/>
  <c r="H15" i="107"/>
  <c r="G15" i="107"/>
  <c r="F15" i="107"/>
  <c r="E15" i="107"/>
  <c r="D15" i="107"/>
  <c r="C15" i="107"/>
  <c r="B15" i="107"/>
  <c r="W15" i="107" s="1"/>
  <c r="W14" i="107"/>
  <c r="W13" i="107"/>
  <c r="W12" i="107"/>
  <c r="W11" i="107"/>
  <c r="W10" i="107"/>
  <c r="W9" i="107"/>
  <c r="W8" i="107"/>
  <c r="W7" i="107"/>
  <c r="W6" i="107"/>
  <c r="W5" i="107"/>
  <c r="W4" i="107"/>
  <c r="W3" i="107"/>
  <c r="U15" i="106"/>
  <c r="T15" i="106"/>
  <c r="S15" i="106"/>
  <c r="R15" i="106"/>
  <c r="Q15" i="106"/>
  <c r="P15" i="106"/>
  <c r="O15" i="106"/>
  <c r="N15" i="106"/>
  <c r="M15" i="106"/>
  <c r="K15" i="106"/>
  <c r="J15" i="106"/>
  <c r="I15" i="106"/>
  <c r="H15" i="106"/>
  <c r="G15" i="106"/>
  <c r="E15" i="106"/>
  <c r="D15" i="106"/>
  <c r="C15" i="106"/>
  <c r="B15" i="106"/>
  <c r="W14" i="106"/>
  <c r="W13" i="106"/>
  <c r="W12" i="106"/>
  <c r="W11" i="106"/>
  <c r="W10" i="106"/>
  <c r="W9" i="106"/>
  <c r="W8" i="106"/>
  <c r="W7" i="106"/>
  <c r="W6" i="106"/>
  <c r="W5" i="106"/>
  <c r="W4" i="106"/>
  <c r="W3" i="106"/>
  <c r="C15" i="105"/>
  <c r="B15" i="105"/>
  <c r="D14" i="105"/>
  <c r="E14" i="105" s="1"/>
  <c r="D13" i="105"/>
  <c r="E13" i="105" s="1"/>
  <c r="D12" i="105"/>
  <c r="D11" i="105"/>
  <c r="D10" i="105"/>
  <c r="E10" i="105" s="1"/>
  <c r="D9" i="105"/>
  <c r="E9" i="105" s="1"/>
  <c r="D8" i="105"/>
  <c r="E8" i="105" s="1"/>
  <c r="D7" i="105"/>
  <c r="E7" i="105" s="1"/>
  <c r="D6" i="105"/>
  <c r="D5" i="105"/>
  <c r="S16" i="104"/>
  <c r="R16" i="104"/>
  <c r="Q16" i="104"/>
  <c r="P16" i="104"/>
  <c r="O16" i="104"/>
  <c r="N16" i="104"/>
  <c r="M16" i="104"/>
  <c r="L16" i="104"/>
  <c r="K16" i="104"/>
  <c r="J16" i="104"/>
  <c r="I16" i="104"/>
  <c r="H16" i="104"/>
  <c r="G16" i="104"/>
  <c r="F16" i="104"/>
  <c r="E16" i="104"/>
  <c r="D16" i="104"/>
  <c r="C16" i="104"/>
  <c r="B16" i="104"/>
  <c r="T15" i="104"/>
  <c r="T14" i="104"/>
  <c r="T13" i="104"/>
  <c r="T12" i="104"/>
  <c r="T11" i="104"/>
  <c r="T10" i="104"/>
  <c r="T9" i="104"/>
  <c r="T8" i="104"/>
  <c r="T7" i="104"/>
  <c r="T6" i="104"/>
  <c r="T5" i="104"/>
  <c r="T4" i="104"/>
  <c r="T16" i="104" s="1"/>
  <c r="Y17" i="103"/>
  <c r="X17" i="103"/>
  <c r="V17" i="103"/>
  <c r="U16" i="103"/>
  <c r="T16" i="103"/>
  <c r="R16" i="103"/>
  <c r="Q16" i="103"/>
  <c r="P16" i="103"/>
  <c r="O16" i="103"/>
  <c r="N16" i="103"/>
  <c r="M16" i="103"/>
  <c r="L16" i="103"/>
  <c r="K16" i="103"/>
  <c r="J16" i="103"/>
  <c r="I16" i="103"/>
  <c r="G16" i="103"/>
  <c r="F16" i="103"/>
  <c r="E16" i="103"/>
  <c r="D16" i="103"/>
  <c r="B16" i="103"/>
  <c r="W16" i="103" s="1"/>
  <c r="Z16" i="103" s="1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W15" i="103" s="1"/>
  <c r="Z15" i="103" s="1"/>
  <c r="U14" i="103"/>
  <c r="T14" i="103"/>
  <c r="S14" i="103"/>
  <c r="R14" i="103"/>
  <c r="Q14" i="103"/>
  <c r="P14" i="103"/>
  <c r="O14" i="103"/>
  <c r="N14" i="103"/>
  <c r="M14" i="103"/>
  <c r="L14" i="103"/>
  <c r="K14" i="103"/>
  <c r="J14" i="103"/>
  <c r="I14" i="103"/>
  <c r="H14" i="103"/>
  <c r="G14" i="103"/>
  <c r="F14" i="103"/>
  <c r="E14" i="103"/>
  <c r="D14" i="103"/>
  <c r="C14" i="103"/>
  <c r="B14" i="103"/>
  <c r="W14" i="103" s="1"/>
  <c r="Z14" i="103" s="1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H13" i="103"/>
  <c r="G13" i="103"/>
  <c r="F13" i="103"/>
  <c r="E13" i="103"/>
  <c r="D13" i="103"/>
  <c r="C13" i="103"/>
  <c r="B13" i="103"/>
  <c r="U12" i="103"/>
  <c r="T12" i="103"/>
  <c r="S12" i="103"/>
  <c r="R12" i="103"/>
  <c r="Q12" i="103"/>
  <c r="P12" i="103"/>
  <c r="O12" i="103"/>
  <c r="N12" i="103"/>
  <c r="M12" i="103"/>
  <c r="L12" i="103"/>
  <c r="K12" i="103"/>
  <c r="J12" i="103"/>
  <c r="I12" i="103"/>
  <c r="H12" i="103"/>
  <c r="G12" i="103"/>
  <c r="F12" i="103"/>
  <c r="E12" i="103"/>
  <c r="D12" i="103"/>
  <c r="C12" i="103"/>
  <c r="B12" i="103"/>
  <c r="W12" i="103" s="1"/>
  <c r="Z12" i="103" s="1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W11" i="103" s="1"/>
  <c r="Z11" i="103" s="1"/>
  <c r="U10" i="103"/>
  <c r="T10" i="103"/>
  <c r="S10" i="103"/>
  <c r="R10" i="103"/>
  <c r="Q10" i="103"/>
  <c r="P10" i="103"/>
  <c r="O10" i="103"/>
  <c r="N10" i="103"/>
  <c r="M10" i="103"/>
  <c r="L10" i="103"/>
  <c r="K10" i="103"/>
  <c r="J10" i="103"/>
  <c r="I10" i="103"/>
  <c r="H10" i="103"/>
  <c r="G10" i="103"/>
  <c r="F10" i="103"/>
  <c r="E10" i="103"/>
  <c r="D10" i="103"/>
  <c r="C10" i="103"/>
  <c r="B10" i="103"/>
  <c r="W10" i="103" s="1"/>
  <c r="Z10" i="103" s="1"/>
  <c r="U9" i="103"/>
  <c r="T9" i="103"/>
  <c r="S9" i="103"/>
  <c r="R9" i="103"/>
  <c r="Q9" i="103"/>
  <c r="P9" i="103"/>
  <c r="O9" i="103"/>
  <c r="N9" i="103"/>
  <c r="M9" i="103"/>
  <c r="L9" i="103"/>
  <c r="K9" i="103"/>
  <c r="J9" i="103"/>
  <c r="I9" i="103"/>
  <c r="H9" i="103"/>
  <c r="G9" i="103"/>
  <c r="F9" i="103"/>
  <c r="E9" i="103"/>
  <c r="D9" i="103"/>
  <c r="C9" i="103"/>
  <c r="B9" i="103"/>
  <c r="W9" i="103" s="1"/>
  <c r="Z9" i="103" s="1"/>
  <c r="U8" i="103"/>
  <c r="T8" i="103"/>
  <c r="S8" i="103"/>
  <c r="R8" i="103"/>
  <c r="Q8" i="103"/>
  <c r="P8" i="103"/>
  <c r="O8" i="103"/>
  <c r="N8" i="103"/>
  <c r="M8" i="103"/>
  <c r="L8" i="103"/>
  <c r="K8" i="103"/>
  <c r="J8" i="103"/>
  <c r="I8" i="103"/>
  <c r="H8" i="103"/>
  <c r="G8" i="103"/>
  <c r="F8" i="103"/>
  <c r="E8" i="103"/>
  <c r="D8" i="103"/>
  <c r="C8" i="103"/>
  <c r="B8" i="103"/>
  <c r="W8" i="103" s="1"/>
  <c r="Z8" i="103" s="1"/>
  <c r="U7" i="103"/>
  <c r="T7" i="103"/>
  <c r="S7" i="103"/>
  <c r="R7" i="103"/>
  <c r="Q7" i="103"/>
  <c r="P7" i="103"/>
  <c r="O7" i="103"/>
  <c r="N7" i="103"/>
  <c r="M7" i="103"/>
  <c r="L7" i="103"/>
  <c r="K7" i="103"/>
  <c r="J7" i="103"/>
  <c r="I7" i="103"/>
  <c r="H7" i="103"/>
  <c r="G7" i="103"/>
  <c r="F7" i="103"/>
  <c r="E7" i="103"/>
  <c r="D7" i="103"/>
  <c r="C7" i="103"/>
  <c r="B7" i="103"/>
  <c r="W7" i="103" s="1"/>
  <c r="Z7" i="103" s="1"/>
  <c r="U6" i="103"/>
  <c r="T6" i="103"/>
  <c r="S6" i="103"/>
  <c r="R6" i="103"/>
  <c r="Q6" i="103"/>
  <c r="P6" i="103"/>
  <c r="O6" i="103"/>
  <c r="N6" i="103"/>
  <c r="M6" i="103"/>
  <c r="L6" i="103"/>
  <c r="K6" i="103"/>
  <c r="J6" i="103"/>
  <c r="I6" i="103"/>
  <c r="H6" i="103"/>
  <c r="G6" i="103"/>
  <c r="F6" i="103"/>
  <c r="E6" i="103"/>
  <c r="D6" i="103"/>
  <c r="C6" i="103"/>
  <c r="B6" i="103"/>
  <c r="W6" i="103" s="1"/>
  <c r="Z6" i="103" s="1"/>
  <c r="U5" i="103"/>
  <c r="T5" i="103"/>
  <c r="T17" i="103" s="1"/>
  <c r="S5" i="103"/>
  <c r="S17" i="103" s="1"/>
  <c r="R5" i="103"/>
  <c r="R17" i="103" s="1"/>
  <c r="Q5" i="103"/>
  <c r="Q17" i="103" s="1"/>
  <c r="P5" i="103"/>
  <c r="O5" i="103"/>
  <c r="O17" i="103" s="1"/>
  <c r="N5" i="103"/>
  <c r="N17" i="103" s="1"/>
  <c r="M5" i="103"/>
  <c r="M17" i="103" s="1"/>
  <c r="L5" i="103"/>
  <c r="K5" i="103"/>
  <c r="K17" i="103" s="1"/>
  <c r="J5" i="103"/>
  <c r="J17" i="103" s="1"/>
  <c r="I5" i="103"/>
  <c r="I17" i="103" s="1"/>
  <c r="H5" i="103"/>
  <c r="H17" i="103" s="1"/>
  <c r="G5" i="103"/>
  <c r="F5" i="103"/>
  <c r="F17" i="103" s="1"/>
  <c r="E5" i="103"/>
  <c r="E17" i="103" s="1"/>
  <c r="D5" i="103"/>
  <c r="D17" i="103" s="1"/>
  <c r="C5" i="103"/>
  <c r="C17" i="103" s="1"/>
  <c r="B5" i="103"/>
  <c r="B17" i="103" s="1"/>
  <c r="E39" i="102"/>
  <c r="D47" i="102" s="1"/>
  <c r="F38" i="102"/>
  <c r="F37" i="102"/>
  <c r="C36" i="102"/>
  <c r="F36" i="102" s="1"/>
  <c r="D49" i="102" s="1"/>
  <c r="F35" i="102"/>
  <c r="F34" i="102"/>
  <c r="D33" i="102"/>
  <c r="F33" i="102" s="1"/>
  <c r="F32" i="102"/>
  <c r="F31" i="102"/>
  <c r="F30" i="102"/>
  <c r="F29" i="102"/>
  <c r="F28" i="102"/>
  <c r="F27" i="102"/>
  <c r="C26" i="102"/>
  <c r="F26" i="102" s="1"/>
  <c r="F25" i="102"/>
  <c r="F24" i="102"/>
  <c r="F23" i="102"/>
  <c r="F22" i="102"/>
  <c r="F21" i="102"/>
  <c r="F20" i="102"/>
  <c r="F19" i="102"/>
  <c r="F18" i="102"/>
  <c r="F17" i="102"/>
  <c r="F16" i="102"/>
  <c r="D15" i="102"/>
  <c r="D39" i="102" s="1"/>
  <c r="D46" i="102" s="1"/>
  <c r="F14" i="102"/>
  <c r="F13" i="102"/>
  <c r="C12" i="102"/>
  <c r="F12" i="102" s="1"/>
  <c r="F11" i="102"/>
  <c r="F10" i="102"/>
  <c r="C10" i="102"/>
  <c r="F9" i="102"/>
  <c r="C9" i="102"/>
  <c r="F8" i="102"/>
  <c r="C7" i="102"/>
  <c r="F7" i="102" s="1"/>
  <c r="F6" i="102"/>
  <c r="F5" i="102"/>
  <c r="C4" i="102"/>
  <c r="F4" i="102" s="1"/>
  <c r="I30" i="101"/>
  <c r="F30" i="101"/>
  <c r="E30" i="101"/>
  <c r="C30" i="101"/>
  <c r="G29" i="101"/>
  <c r="J29" i="101" s="1"/>
  <c r="G28" i="101"/>
  <c r="H28" i="101" s="1"/>
  <c r="D27" i="101"/>
  <c r="D30" i="101" s="1"/>
  <c r="G26" i="101"/>
  <c r="J26" i="101" s="1"/>
  <c r="G25" i="101"/>
  <c r="H25" i="101" s="1"/>
  <c r="H24" i="101"/>
  <c r="G24" i="101"/>
  <c r="J24" i="101" s="1"/>
  <c r="G23" i="101"/>
  <c r="H23" i="101" s="1"/>
  <c r="G22" i="101"/>
  <c r="J22" i="101" s="1"/>
  <c r="G21" i="101"/>
  <c r="H21" i="101" s="1"/>
  <c r="H20" i="101"/>
  <c r="G20" i="101"/>
  <c r="J20" i="101" s="1"/>
  <c r="G19" i="101"/>
  <c r="H19" i="101" s="1"/>
  <c r="G18" i="101"/>
  <c r="J18" i="101" s="1"/>
  <c r="G17" i="101"/>
  <c r="H17" i="101" s="1"/>
  <c r="H16" i="101"/>
  <c r="G16" i="101"/>
  <c r="J16" i="101" s="1"/>
  <c r="G15" i="101"/>
  <c r="H15" i="101" s="1"/>
  <c r="G14" i="101"/>
  <c r="J14" i="101" s="1"/>
  <c r="G13" i="101"/>
  <c r="H13" i="101" s="1"/>
  <c r="H12" i="101"/>
  <c r="G12" i="101"/>
  <c r="J12" i="101" s="1"/>
  <c r="G11" i="101"/>
  <c r="H11" i="101" s="1"/>
  <c r="G10" i="101"/>
  <c r="J10" i="101" s="1"/>
  <c r="G9" i="101"/>
  <c r="H9" i="101" s="1"/>
  <c r="H8" i="101"/>
  <c r="G8" i="101"/>
  <c r="J8" i="101" s="1"/>
  <c r="G7" i="101"/>
  <c r="H7" i="101" s="1"/>
  <c r="G6" i="101"/>
  <c r="J6" i="101" s="1"/>
  <c r="G5" i="101"/>
  <c r="H5" i="101" s="1"/>
  <c r="H4" i="101"/>
  <c r="G4" i="101"/>
  <c r="J4" i="101" s="1"/>
  <c r="W13" i="103" l="1"/>
  <c r="Z13" i="103" s="1"/>
  <c r="H10" i="101"/>
  <c r="H18" i="101"/>
  <c r="H26" i="101"/>
  <c r="H29" i="101"/>
  <c r="G17" i="103"/>
  <c r="D15" i="105"/>
  <c r="E15" i="105" s="1"/>
  <c r="L17" i="103"/>
  <c r="P17" i="103"/>
  <c r="W15" i="106"/>
  <c r="H6" i="101"/>
  <c r="H14" i="101"/>
  <c r="H22" i="101"/>
  <c r="U17" i="103"/>
  <c r="J7" i="101"/>
  <c r="J9" i="101"/>
  <c r="J11" i="101"/>
  <c r="J13" i="101"/>
  <c r="J15" i="101"/>
  <c r="J17" i="101"/>
  <c r="J19" i="101"/>
  <c r="J21" i="101"/>
  <c r="J23" i="101"/>
  <c r="J25" i="101"/>
  <c r="J28" i="101"/>
  <c r="C39" i="102"/>
  <c r="D50" i="102"/>
  <c r="W5" i="103"/>
  <c r="J5" i="101"/>
  <c r="G27" i="101"/>
  <c r="G30" i="101" s="1"/>
  <c r="F15" i="102"/>
  <c r="J27" i="101" l="1"/>
  <c r="J30" i="101" s="1"/>
  <c r="H27" i="101"/>
  <c r="H30" i="101" s="1"/>
  <c r="Z5" i="103"/>
  <c r="Z17" i="103" s="1"/>
  <c r="W17" i="103"/>
  <c r="F39" i="102"/>
  <c r="D45" i="102"/>
  <c r="D51" i="102" s="1"/>
  <c r="H17" i="100" l="1"/>
  <c r="H16" i="100"/>
  <c r="H15" i="100"/>
  <c r="H14" i="100"/>
  <c r="H13" i="100"/>
  <c r="H12" i="100"/>
  <c r="H11" i="100"/>
  <c r="H10" i="100"/>
  <c r="H9" i="100"/>
  <c r="H8" i="100"/>
  <c r="H7" i="100"/>
  <c r="H6" i="100"/>
  <c r="H18" i="100" s="1"/>
  <c r="Q25" i="99"/>
  <c r="O25" i="99"/>
  <c r="N25" i="99"/>
  <c r="M25" i="99"/>
  <c r="L25" i="99"/>
  <c r="K25" i="99"/>
  <c r="J25" i="99"/>
  <c r="I25" i="99"/>
  <c r="H25" i="99"/>
  <c r="G25" i="99"/>
  <c r="F25" i="99"/>
  <c r="E25" i="99"/>
  <c r="D25" i="99"/>
  <c r="C25" i="99"/>
  <c r="B25" i="99"/>
  <c r="P24" i="99"/>
  <c r="P23" i="99"/>
  <c r="P22" i="99"/>
  <c r="P21" i="99"/>
  <c r="P20" i="99"/>
  <c r="P19" i="99"/>
  <c r="P18" i="99"/>
  <c r="P17" i="99"/>
  <c r="P16" i="99"/>
  <c r="P15" i="99"/>
  <c r="P14" i="99"/>
  <c r="P13" i="99"/>
  <c r="P12" i="99"/>
  <c r="P11" i="99"/>
  <c r="P10" i="99"/>
  <c r="P9" i="99"/>
  <c r="P8" i="99"/>
  <c r="P7" i="99"/>
  <c r="P6" i="99"/>
  <c r="P5" i="99"/>
  <c r="P4" i="99"/>
  <c r="P25" i="99" s="1"/>
  <c r="S27" i="98"/>
  <c r="R27" i="98"/>
  <c r="Q27" i="98"/>
  <c r="P27" i="98"/>
  <c r="O27" i="98"/>
  <c r="N27" i="98"/>
  <c r="M27" i="98"/>
  <c r="L27" i="98"/>
  <c r="L28" i="98" s="1"/>
  <c r="K27" i="98"/>
  <c r="J27" i="98"/>
  <c r="I27" i="98"/>
  <c r="H27" i="98"/>
  <c r="G27" i="98"/>
  <c r="F27" i="98"/>
  <c r="E27" i="98"/>
  <c r="D27" i="98"/>
  <c r="C27" i="98"/>
  <c r="I26" i="97"/>
  <c r="H26" i="97"/>
  <c r="G26" i="97"/>
  <c r="F26" i="97"/>
  <c r="E26" i="97"/>
  <c r="D26" i="97"/>
  <c r="C26" i="97"/>
  <c r="B26" i="97"/>
  <c r="K25" i="97"/>
  <c r="J25" i="97"/>
  <c r="K24" i="97"/>
  <c r="J24" i="97"/>
  <c r="K23" i="97"/>
  <c r="J23" i="97"/>
  <c r="K22" i="97"/>
  <c r="J22" i="97"/>
  <c r="K21" i="97"/>
  <c r="J21" i="97"/>
  <c r="K20" i="97"/>
  <c r="J20" i="97"/>
  <c r="K19" i="97"/>
  <c r="J19" i="97"/>
  <c r="K18" i="97"/>
  <c r="J18" i="97"/>
  <c r="K17" i="97"/>
  <c r="J17" i="97"/>
  <c r="K16" i="97"/>
  <c r="J16" i="97"/>
  <c r="K15" i="97"/>
  <c r="J15" i="97"/>
  <c r="K14" i="97"/>
  <c r="J14" i="97"/>
  <c r="K13" i="97"/>
  <c r="J13" i="97"/>
  <c r="K12" i="97"/>
  <c r="J12" i="97"/>
  <c r="K11" i="97"/>
  <c r="J11" i="97"/>
  <c r="K10" i="97"/>
  <c r="J10" i="97"/>
  <c r="K9" i="97"/>
  <c r="J9" i="97"/>
  <c r="K8" i="97"/>
  <c r="J8" i="97"/>
  <c r="K7" i="97"/>
  <c r="J7" i="97"/>
  <c r="K6" i="97"/>
  <c r="J6" i="97"/>
  <c r="K5" i="97"/>
  <c r="J5" i="97"/>
  <c r="J26" i="97" s="1"/>
  <c r="J28" i="95"/>
  <c r="I28" i="95"/>
  <c r="H28" i="95"/>
  <c r="G28" i="95"/>
  <c r="F28" i="95"/>
  <c r="E28" i="95"/>
  <c r="D28" i="95"/>
  <c r="C28" i="95"/>
  <c r="B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F27" i="94"/>
  <c r="E27" i="94"/>
  <c r="C27" i="94"/>
  <c r="B27" i="94"/>
  <c r="G26" i="94"/>
  <c r="H26" i="94" s="1"/>
  <c r="D26" i="94"/>
  <c r="G25" i="94"/>
  <c r="D25" i="94"/>
  <c r="G24" i="94"/>
  <c r="H24" i="94" s="1"/>
  <c r="D24" i="94"/>
  <c r="G23" i="94"/>
  <c r="D23" i="94"/>
  <c r="G22" i="94"/>
  <c r="H22" i="94" s="1"/>
  <c r="D22" i="94"/>
  <c r="G21" i="94"/>
  <c r="D21" i="94"/>
  <c r="G20" i="94"/>
  <c r="H20" i="94" s="1"/>
  <c r="D20" i="94"/>
  <c r="G19" i="94"/>
  <c r="D19" i="94"/>
  <c r="G18" i="94"/>
  <c r="H18" i="94" s="1"/>
  <c r="D18" i="94"/>
  <c r="G17" i="94"/>
  <c r="D17" i="94"/>
  <c r="G16" i="94"/>
  <c r="H16" i="94" s="1"/>
  <c r="D16" i="94"/>
  <c r="G15" i="94"/>
  <c r="D15" i="94"/>
  <c r="G14" i="94"/>
  <c r="H14" i="94" s="1"/>
  <c r="D14" i="94"/>
  <c r="G13" i="94"/>
  <c r="D13" i="94"/>
  <c r="G12" i="94"/>
  <c r="H12" i="94" s="1"/>
  <c r="D12" i="94"/>
  <c r="G11" i="94"/>
  <c r="D11" i="94"/>
  <c r="G10" i="94"/>
  <c r="H10" i="94" s="1"/>
  <c r="D10" i="94"/>
  <c r="G9" i="94"/>
  <c r="D9" i="94"/>
  <c r="G8" i="94"/>
  <c r="H8" i="94" s="1"/>
  <c r="D8" i="94"/>
  <c r="G7" i="94"/>
  <c r="D7" i="94"/>
  <c r="G6" i="94"/>
  <c r="D6" i="94"/>
  <c r="E61" i="93"/>
  <c r="X16" i="92"/>
  <c r="X15" i="92"/>
  <c r="X14" i="92"/>
  <c r="X12" i="92"/>
  <c r="X11" i="92"/>
  <c r="X10" i="92"/>
  <c r="X9" i="92"/>
  <c r="X8" i="92"/>
  <c r="X7" i="92"/>
  <c r="X6" i="92"/>
  <c r="X5" i="92"/>
  <c r="X4" i="92"/>
  <c r="Q3" i="92"/>
  <c r="X3" i="92" s="1"/>
  <c r="G27" i="94" l="1"/>
  <c r="K26" i="97"/>
  <c r="H7" i="94"/>
  <c r="H9" i="94"/>
  <c r="H11" i="94"/>
  <c r="H13" i="94"/>
  <c r="H15" i="94"/>
  <c r="H17" i="94"/>
  <c r="H19" i="94"/>
  <c r="H21" i="94"/>
  <c r="H23" i="94"/>
  <c r="H25" i="94"/>
  <c r="D27" i="94"/>
  <c r="K28" i="95"/>
  <c r="C28" i="98"/>
  <c r="F28" i="98"/>
  <c r="H6" i="94"/>
  <c r="H27" i="94" l="1"/>
  <c r="H169" i="89"/>
  <c r="X155" i="89"/>
  <c r="S141" i="89"/>
  <c r="S153" i="89" s="1"/>
  <c r="R141" i="89"/>
  <c r="R153" i="89" s="1"/>
  <c r="Q141" i="89"/>
  <c r="Q153" i="89" s="1"/>
  <c r="P141" i="89"/>
  <c r="P153" i="89" s="1"/>
  <c r="O141" i="89"/>
  <c r="O153" i="89" s="1"/>
  <c r="N141" i="89"/>
  <c r="N153" i="89" s="1"/>
  <c r="M141" i="89"/>
  <c r="T141" i="89" s="1"/>
  <c r="J141" i="89"/>
  <c r="J153" i="89" s="1"/>
  <c r="I141" i="89"/>
  <c r="I153" i="89" s="1"/>
  <c r="H141" i="89"/>
  <c r="H153" i="89" s="1"/>
  <c r="G141" i="89"/>
  <c r="G153" i="89" s="1"/>
  <c r="F141" i="89"/>
  <c r="F153" i="89" s="1"/>
  <c r="E141" i="89"/>
  <c r="E153" i="89" s="1"/>
  <c r="D141" i="89"/>
  <c r="D153" i="89" s="1"/>
  <c r="S140" i="89"/>
  <c r="S142" i="89" s="1"/>
  <c r="R140" i="89"/>
  <c r="R152" i="89" s="1"/>
  <c r="Q140" i="89"/>
  <c r="P140" i="89"/>
  <c r="P152" i="89" s="1"/>
  <c r="O140" i="89"/>
  <c r="O142" i="89" s="1"/>
  <c r="N140" i="89"/>
  <c r="N152" i="89" s="1"/>
  <c r="M140" i="89"/>
  <c r="J140" i="89"/>
  <c r="J152" i="89" s="1"/>
  <c r="I140" i="89"/>
  <c r="I152" i="89" s="1"/>
  <c r="H140" i="89"/>
  <c r="H152" i="89" s="1"/>
  <c r="G140" i="89"/>
  <c r="G152" i="89" s="1"/>
  <c r="F140" i="89"/>
  <c r="F142" i="89" s="1"/>
  <c r="E140" i="89"/>
  <c r="E152" i="89" s="1"/>
  <c r="D140" i="89"/>
  <c r="D152" i="89" s="1"/>
  <c r="T139" i="89"/>
  <c r="AB115" i="89" s="1"/>
  <c r="K139" i="89"/>
  <c r="W138" i="89"/>
  <c r="T138" i="89"/>
  <c r="K138" i="89"/>
  <c r="T137" i="89"/>
  <c r="AB118" i="89" s="1"/>
  <c r="K137" i="89"/>
  <c r="W136" i="89"/>
  <c r="T136" i="89"/>
  <c r="K136" i="89"/>
  <c r="T135" i="89"/>
  <c r="AB114" i="89" s="1"/>
  <c r="K135" i="89"/>
  <c r="W134" i="89"/>
  <c r="T134" i="89"/>
  <c r="K134" i="89"/>
  <c r="T133" i="89"/>
  <c r="K133" i="89"/>
  <c r="W132" i="89"/>
  <c r="V132" i="89"/>
  <c r="W133" i="89" s="1"/>
  <c r="T132" i="89"/>
  <c r="U132" i="89" s="1"/>
  <c r="K132" i="89"/>
  <c r="T131" i="89"/>
  <c r="K131" i="89"/>
  <c r="W130" i="89"/>
  <c r="T130" i="89"/>
  <c r="U130" i="89" s="1"/>
  <c r="K130" i="89"/>
  <c r="V130" i="89" s="1"/>
  <c r="T129" i="89"/>
  <c r="K129" i="89"/>
  <c r="W128" i="89"/>
  <c r="V128" i="89"/>
  <c r="W129" i="89" s="1"/>
  <c r="T128" i="89"/>
  <c r="U128" i="89" s="1"/>
  <c r="K128" i="89"/>
  <c r="T127" i="89"/>
  <c r="K127" i="89"/>
  <c r="W126" i="89"/>
  <c r="T126" i="89"/>
  <c r="U126" i="89" s="1"/>
  <c r="K126" i="89"/>
  <c r="V126" i="89" s="1"/>
  <c r="T125" i="89"/>
  <c r="AB112" i="89" s="1"/>
  <c r="K125" i="89"/>
  <c r="W124" i="89"/>
  <c r="T124" i="89"/>
  <c r="AA112" i="89" s="1"/>
  <c r="Y112" i="89" s="1"/>
  <c r="K124" i="89"/>
  <c r="V124" i="89" s="1"/>
  <c r="T123" i="89"/>
  <c r="AB109" i="89" s="1"/>
  <c r="K123" i="89"/>
  <c r="W122" i="89"/>
  <c r="T122" i="89"/>
  <c r="K122" i="89"/>
  <c r="T121" i="89"/>
  <c r="AB119" i="89" s="1"/>
  <c r="K121" i="89"/>
  <c r="W120" i="89"/>
  <c r="T120" i="89"/>
  <c r="K120" i="89"/>
  <c r="V120" i="89" s="1"/>
  <c r="AA119" i="89"/>
  <c r="Y119" i="89" s="1"/>
  <c r="T119" i="89"/>
  <c r="K119" i="89"/>
  <c r="AA118" i="89"/>
  <c r="Y118" i="89" s="1"/>
  <c r="W118" i="89"/>
  <c r="T118" i="89"/>
  <c r="U118" i="89" s="1"/>
  <c r="W119" i="89" s="1"/>
  <c r="K118" i="89"/>
  <c r="V118" i="89" s="1"/>
  <c r="AB117" i="89"/>
  <c r="T117" i="89"/>
  <c r="K117" i="89"/>
  <c r="AB116" i="89"/>
  <c r="W116" i="89"/>
  <c r="U116" i="89"/>
  <c r="T116" i="89"/>
  <c r="AA108" i="89" s="1"/>
  <c r="Y108" i="89" s="1"/>
  <c r="K116" i="89"/>
  <c r="AA115" i="89"/>
  <c r="Y115" i="89" s="1"/>
  <c r="T115" i="89"/>
  <c r="AB107" i="89" s="1"/>
  <c r="K115" i="89"/>
  <c r="AA114" i="89"/>
  <c r="Y114" i="89" s="1"/>
  <c r="W114" i="89"/>
  <c r="U114" i="89"/>
  <c r="T114" i="89"/>
  <c r="K114" i="89"/>
  <c r="AB113" i="89"/>
  <c r="AA113" i="89"/>
  <c r="Y113" i="89" s="1"/>
  <c r="T113" i="89"/>
  <c r="AB106" i="89" s="1"/>
  <c r="K113" i="89"/>
  <c r="W112" i="89"/>
  <c r="U112" i="89"/>
  <c r="W113" i="89" s="1"/>
  <c r="T112" i="89"/>
  <c r="K112" i="89"/>
  <c r="V112" i="89" s="1"/>
  <c r="AB111" i="89"/>
  <c r="AA111" i="89"/>
  <c r="T111" i="89"/>
  <c r="K111" i="89"/>
  <c r="AB110" i="89"/>
  <c r="W110" i="89"/>
  <c r="T110" i="89"/>
  <c r="U110" i="89" s="1"/>
  <c r="W111" i="89" s="1"/>
  <c r="K110" i="89"/>
  <c r="V110" i="89" s="1"/>
  <c r="AA109" i="89"/>
  <c r="Y109" i="89" s="1"/>
  <c r="T109" i="89"/>
  <c r="K109" i="89"/>
  <c r="AB108" i="89"/>
  <c r="W108" i="89"/>
  <c r="T108" i="89"/>
  <c r="U108" i="89" s="1"/>
  <c r="K108" i="89"/>
  <c r="AA107" i="89"/>
  <c r="T107" i="89"/>
  <c r="U106" i="89" s="1"/>
  <c r="W107" i="89" s="1"/>
  <c r="K107" i="89"/>
  <c r="AA106" i="89"/>
  <c r="W106" i="89"/>
  <c r="T106" i="89"/>
  <c r="K106" i="89"/>
  <c r="V106" i="89" s="1"/>
  <c r="AB105" i="89"/>
  <c r="T105" i="89"/>
  <c r="K105" i="89"/>
  <c r="AB104" i="89"/>
  <c r="AA104" i="89"/>
  <c r="W104" i="89"/>
  <c r="U104" i="89"/>
  <c r="T104" i="89"/>
  <c r="K104" i="89"/>
  <c r="T103" i="89"/>
  <c r="U102" i="89" s="1"/>
  <c r="K103" i="89"/>
  <c r="W102" i="89"/>
  <c r="T102" i="89"/>
  <c r="AA102" i="89" s="1"/>
  <c r="K102" i="89"/>
  <c r="AA101" i="89"/>
  <c r="T101" i="89"/>
  <c r="AB101" i="89" s="1"/>
  <c r="K101" i="89"/>
  <c r="AB100" i="89"/>
  <c r="AA100" i="89"/>
  <c r="Y100" i="89" s="1"/>
  <c r="W100" i="89"/>
  <c r="T100" i="89"/>
  <c r="U100" i="89" s="1"/>
  <c r="W101" i="89" s="1"/>
  <c r="K100" i="89"/>
  <c r="V100" i="89" s="1"/>
  <c r="AB99" i="89"/>
  <c r="AA99" i="89"/>
  <c r="T99" i="89"/>
  <c r="AB103" i="89" s="1"/>
  <c r="K99" i="89"/>
  <c r="V98" i="89" s="1"/>
  <c r="W99" i="89" s="1"/>
  <c r="T98" i="89"/>
  <c r="U98" i="89" s="1"/>
  <c r="K98" i="89"/>
  <c r="S89" i="89"/>
  <c r="R89" i="89"/>
  <c r="Q89" i="89"/>
  <c r="P89" i="89"/>
  <c r="O89" i="89"/>
  <c r="N89" i="89"/>
  <c r="M89" i="89"/>
  <c r="J89" i="89"/>
  <c r="I89" i="89"/>
  <c r="H89" i="89"/>
  <c r="G89" i="89"/>
  <c r="F89" i="89"/>
  <c r="E89" i="89"/>
  <c r="D89" i="89"/>
  <c r="S88" i="89"/>
  <c r="S151" i="89" s="1"/>
  <c r="S155" i="89" s="1"/>
  <c r="AB151" i="89" s="1"/>
  <c r="R88" i="89"/>
  <c r="R151" i="89" s="1"/>
  <c r="R155" i="89" s="1"/>
  <c r="Q88" i="89"/>
  <c r="Q151" i="89" s="1"/>
  <c r="Q155" i="89" s="1"/>
  <c r="P88" i="89"/>
  <c r="P151" i="89" s="1"/>
  <c r="P155" i="89" s="1"/>
  <c r="O88" i="89"/>
  <c r="O151" i="89" s="1"/>
  <c r="O155" i="89" s="1"/>
  <c r="X151" i="89" s="1"/>
  <c r="N88" i="89"/>
  <c r="N151" i="89" s="1"/>
  <c r="N155" i="89" s="1"/>
  <c r="M88" i="89"/>
  <c r="M151" i="89" s="1"/>
  <c r="J88" i="89"/>
  <c r="J151" i="89" s="1"/>
  <c r="I88" i="89"/>
  <c r="I151" i="89" s="1"/>
  <c r="I155" i="89" s="1"/>
  <c r="H88" i="89"/>
  <c r="H151" i="89" s="1"/>
  <c r="G88" i="89"/>
  <c r="G151" i="89" s="1"/>
  <c r="G155" i="89" s="1"/>
  <c r="F88" i="89"/>
  <c r="F151" i="89" s="1"/>
  <c r="E88" i="89"/>
  <c r="E151" i="89" s="1"/>
  <c r="E155" i="89" s="1"/>
  <c r="D88" i="89"/>
  <c r="D151" i="89" s="1"/>
  <c r="AE87" i="89"/>
  <c r="S87" i="89"/>
  <c r="S150" i="89" s="1"/>
  <c r="R87" i="89"/>
  <c r="R150" i="89" s="1"/>
  <c r="R154" i="89" s="1"/>
  <c r="AA150" i="89" s="1"/>
  <c r="Q87" i="89"/>
  <c r="Q150" i="89" s="1"/>
  <c r="P87" i="89"/>
  <c r="P150" i="89" s="1"/>
  <c r="P154" i="89" s="1"/>
  <c r="Y150" i="89" s="1"/>
  <c r="O87" i="89"/>
  <c r="O150" i="89" s="1"/>
  <c r="N87" i="89"/>
  <c r="N150" i="89" s="1"/>
  <c r="N154" i="89" s="1"/>
  <c r="M87" i="89"/>
  <c r="M150" i="89" s="1"/>
  <c r="J87" i="89"/>
  <c r="J150" i="89" s="1"/>
  <c r="I87" i="89"/>
  <c r="I150" i="89" s="1"/>
  <c r="I154" i="89" s="1"/>
  <c r="H87" i="89"/>
  <c r="H150" i="89" s="1"/>
  <c r="H154" i="89" s="1"/>
  <c r="G87" i="89"/>
  <c r="G150" i="89" s="1"/>
  <c r="G154" i="89" s="1"/>
  <c r="F87" i="89"/>
  <c r="F150" i="89" s="1"/>
  <c r="E87" i="89"/>
  <c r="E150" i="89" s="1"/>
  <c r="E154" i="89" s="1"/>
  <c r="D87" i="89"/>
  <c r="D150" i="89" s="1"/>
  <c r="D154" i="89" s="1"/>
  <c r="T86" i="89"/>
  <c r="K86" i="89"/>
  <c r="T85" i="89"/>
  <c r="V85" i="89" s="1"/>
  <c r="K85" i="89"/>
  <c r="T84" i="89"/>
  <c r="K84" i="89"/>
  <c r="T83" i="89"/>
  <c r="U83" i="89" s="1"/>
  <c r="K83" i="89"/>
  <c r="K87" i="89" s="1"/>
  <c r="T82" i="89"/>
  <c r="K82" i="89"/>
  <c r="V81" i="89"/>
  <c r="T81" i="89"/>
  <c r="K81" i="89"/>
  <c r="T80" i="89"/>
  <c r="K80" i="89"/>
  <c r="T79" i="89"/>
  <c r="U79" i="89" s="1"/>
  <c r="K79" i="89"/>
  <c r="T78" i="89"/>
  <c r="K78" i="89"/>
  <c r="V77" i="89"/>
  <c r="T77" i="89"/>
  <c r="K77" i="89"/>
  <c r="T75" i="89"/>
  <c r="K75" i="89"/>
  <c r="T74" i="89"/>
  <c r="K74" i="89"/>
  <c r="T73" i="89"/>
  <c r="K73" i="89"/>
  <c r="K88" i="89" s="1"/>
  <c r="W94" i="89" s="1"/>
  <c r="T72" i="89"/>
  <c r="K72" i="89"/>
  <c r="V73" i="89" s="1"/>
  <c r="T71" i="89"/>
  <c r="K71" i="89"/>
  <c r="T70" i="89"/>
  <c r="K70" i="89"/>
  <c r="T68" i="89"/>
  <c r="K68" i="89"/>
  <c r="T67" i="89"/>
  <c r="V67" i="89" s="1"/>
  <c r="K67" i="89"/>
  <c r="U67" i="89" s="1"/>
  <c r="T66" i="89"/>
  <c r="K66" i="89"/>
  <c r="T65" i="89"/>
  <c r="V65" i="89" s="1"/>
  <c r="K65" i="89"/>
  <c r="U65" i="89" s="1"/>
  <c r="T64" i="89"/>
  <c r="K64" i="89"/>
  <c r="V63" i="89"/>
  <c r="T63" i="89"/>
  <c r="K63" i="89"/>
  <c r="T62" i="89"/>
  <c r="K62" i="89"/>
  <c r="T61" i="89"/>
  <c r="V61" i="89" s="1"/>
  <c r="K61" i="89"/>
  <c r="T60" i="89"/>
  <c r="K60" i="89"/>
  <c r="V59" i="89"/>
  <c r="T59" i="89"/>
  <c r="K59" i="89"/>
  <c r="T57" i="89"/>
  <c r="K57" i="89"/>
  <c r="T56" i="89"/>
  <c r="K56" i="89"/>
  <c r="U56" i="89" s="1"/>
  <c r="V54" i="89"/>
  <c r="U54" i="89"/>
  <c r="T53" i="89"/>
  <c r="K53" i="89"/>
  <c r="V52" i="89" s="1"/>
  <c r="T52" i="89"/>
  <c r="K52" i="89"/>
  <c r="T51" i="89"/>
  <c r="K51" i="89"/>
  <c r="T50" i="89"/>
  <c r="K50" i="89"/>
  <c r="U50" i="89" s="1"/>
  <c r="T47" i="89"/>
  <c r="K47" i="89"/>
  <c r="T46" i="89"/>
  <c r="V46" i="89" s="1"/>
  <c r="K46" i="89"/>
  <c r="U46" i="89" s="1"/>
  <c r="T45" i="89"/>
  <c r="K45" i="89"/>
  <c r="T44" i="89"/>
  <c r="K44" i="89"/>
  <c r="T43" i="89"/>
  <c r="K43" i="89"/>
  <c r="V42" i="89"/>
  <c r="T42" i="89"/>
  <c r="K42" i="89"/>
  <c r="T41" i="89"/>
  <c r="K41" i="89"/>
  <c r="V40" i="89" s="1"/>
  <c r="T40" i="89"/>
  <c r="K40" i="89"/>
  <c r="T39" i="89"/>
  <c r="K39" i="89"/>
  <c r="T38" i="89"/>
  <c r="K38" i="89"/>
  <c r="U38" i="89" s="1"/>
  <c r="T36" i="89"/>
  <c r="K36" i="89"/>
  <c r="T35" i="89"/>
  <c r="K35" i="89"/>
  <c r="U35" i="89" s="1"/>
  <c r="T34" i="89"/>
  <c r="K34" i="89"/>
  <c r="V33" i="89"/>
  <c r="T33" i="89"/>
  <c r="K33" i="89"/>
  <c r="T32" i="89"/>
  <c r="K32" i="89"/>
  <c r="V31" i="89" s="1"/>
  <c r="T31" i="89"/>
  <c r="K31" i="89"/>
  <c r="T29" i="89"/>
  <c r="K29" i="89"/>
  <c r="T28" i="89"/>
  <c r="K28" i="89"/>
  <c r="U29" i="89" s="1"/>
  <c r="T27" i="89"/>
  <c r="K27" i="89"/>
  <c r="T26" i="89"/>
  <c r="K26" i="89"/>
  <c r="U26" i="89" s="1"/>
  <c r="T25" i="89"/>
  <c r="K25" i="89"/>
  <c r="V24" i="89"/>
  <c r="T24" i="89"/>
  <c r="K24" i="89"/>
  <c r="T23" i="89"/>
  <c r="K23" i="89"/>
  <c r="V22" i="89" s="1"/>
  <c r="T22" i="89"/>
  <c r="K22" i="89"/>
  <c r="T21" i="89"/>
  <c r="K21" i="89"/>
  <c r="T20" i="89"/>
  <c r="K20" i="89"/>
  <c r="U20" i="89" s="1"/>
  <c r="T19" i="89"/>
  <c r="K19" i="89"/>
  <c r="T18" i="89"/>
  <c r="K18" i="89"/>
  <c r="U18" i="89" s="1"/>
  <c r="T17" i="89"/>
  <c r="K17" i="89"/>
  <c r="V16" i="89"/>
  <c r="T16" i="89"/>
  <c r="K16" i="89"/>
  <c r="T15" i="89"/>
  <c r="K15" i="89"/>
  <c r="V14" i="89"/>
  <c r="T14" i="89"/>
  <c r="K14" i="89"/>
  <c r="T13" i="89"/>
  <c r="K13" i="89"/>
  <c r="T12" i="89"/>
  <c r="K12" i="89"/>
  <c r="V12" i="89" s="1"/>
  <c r="T11" i="89"/>
  <c r="K11" i="89"/>
  <c r="T10" i="89"/>
  <c r="K10" i="89"/>
  <c r="U10" i="89" s="1"/>
  <c r="T9" i="89"/>
  <c r="K9" i="89"/>
  <c r="V8" i="89"/>
  <c r="T8" i="89"/>
  <c r="K8" i="89"/>
  <c r="T7" i="89"/>
  <c r="K7" i="89"/>
  <c r="V6" i="89"/>
  <c r="T6" i="89"/>
  <c r="K6" i="89"/>
  <c r="T5" i="89"/>
  <c r="V4" i="89"/>
  <c r="U4" i="89"/>
  <c r="T4" i="89"/>
  <c r="T89" i="89" l="1"/>
  <c r="U8" i="89"/>
  <c r="U16" i="89"/>
  <c r="V20" i="89"/>
  <c r="U24" i="89"/>
  <c r="U33" i="89"/>
  <c r="V38" i="89"/>
  <c r="U42" i="89"/>
  <c r="V50" i="89"/>
  <c r="V56" i="89"/>
  <c r="U61" i="89"/>
  <c r="U63" i="89"/>
  <c r="U74" i="89"/>
  <c r="T88" i="89"/>
  <c r="Y99" i="89"/>
  <c r="AB102" i="89"/>
  <c r="Y102" i="89" s="1"/>
  <c r="V104" i="89"/>
  <c r="Y104" i="89"/>
  <c r="AA105" i="89"/>
  <c r="Y105" i="89" s="1"/>
  <c r="V108" i="89"/>
  <c r="W109" i="89" s="1"/>
  <c r="V114" i="89"/>
  <c r="V116" i="89"/>
  <c r="AA116" i="89"/>
  <c r="Y116" i="89" s="1"/>
  <c r="AA117" i="89"/>
  <c r="Y117" i="89" s="1"/>
  <c r="AB123" i="89"/>
  <c r="AA110" i="89"/>
  <c r="Y110" i="89" s="1"/>
  <c r="Y111" i="89"/>
  <c r="P142" i="89"/>
  <c r="W105" i="89"/>
  <c r="Y106" i="89"/>
  <c r="Y107" i="89"/>
  <c r="W115" i="89"/>
  <c r="W117" i="89"/>
  <c r="U124" i="89"/>
  <c r="F152" i="89"/>
  <c r="U12" i="89"/>
  <c r="V29" i="89"/>
  <c r="K89" i="89"/>
  <c r="V10" i="89"/>
  <c r="U14" i="89"/>
  <c r="V18" i="89"/>
  <c r="U22" i="89"/>
  <c r="V26" i="89"/>
  <c r="U31" i="89"/>
  <c r="V35" i="89"/>
  <c r="U40" i="89"/>
  <c r="U52" i="89"/>
  <c r="U59" i="89"/>
  <c r="U70" i="89"/>
  <c r="U73" i="89"/>
  <c r="V102" i="89"/>
  <c r="W103" i="89" s="1"/>
  <c r="AA103" i="89"/>
  <c r="Y103" i="89" s="1"/>
  <c r="V122" i="89"/>
  <c r="W127" i="89"/>
  <c r="W131" i="89"/>
  <c r="V136" i="89"/>
  <c r="K153" i="89"/>
  <c r="K155" i="89" s="1"/>
  <c r="H155" i="89"/>
  <c r="H156" i="89" s="1"/>
  <c r="J164" i="89" s="1"/>
  <c r="Z151" i="89"/>
  <c r="T87" i="89"/>
  <c r="E156" i="89"/>
  <c r="J166" i="89" s="1"/>
  <c r="G156" i="89"/>
  <c r="J165" i="89" s="1"/>
  <c r="I156" i="89"/>
  <c r="N156" i="89"/>
  <c r="P156" i="89"/>
  <c r="Y151" i="89"/>
  <c r="Y152" i="89" s="1"/>
  <c r="R156" i="89"/>
  <c r="Y101" i="89"/>
  <c r="W125" i="89"/>
  <c r="M152" i="89"/>
  <c r="T140" i="89"/>
  <c r="Q142" i="89"/>
  <c r="Q152" i="89"/>
  <c r="Q154" i="89" s="1"/>
  <c r="Z150" i="89" s="1"/>
  <c r="Z152" i="89" s="1"/>
  <c r="D142" i="89"/>
  <c r="H142" i="89"/>
  <c r="M142" i="89"/>
  <c r="J154" i="89"/>
  <c r="K151" i="89"/>
  <c r="T151" i="89"/>
  <c r="AB98" i="89" s="1"/>
  <c r="AB120" i="89" s="1"/>
  <c r="O152" i="89"/>
  <c r="D155" i="89"/>
  <c r="D156" i="89" s="1"/>
  <c r="J167" i="89" s="1"/>
  <c r="V70" i="89"/>
  <c r="V74" i="89"/>
  <c r="U77" i="89"/>
  <c r="V79" i="89"/>
  <c r="U81" i="89"/>
  <c r="V83" i="89"/>
  <c r="U85" i="89"/>
  <c r="K150" i="89"/>
  <c r="T150" i="89"/>
  <c r="AA98" i="89" s="1"/>
  <c r="X88" i="89"/>
  <c r="F155" i="89"/>
  <c r="J155" i="89"/>
  <c r="J156" i="89" s="1"/>
  <c r="J162" i="89" s="1"/>
  <c r="U120" i="89"/>
  <c r="W121" i="89" s="1"/>
  <c r="U122" i="89"/>
  <c r="W123" i="89" s="1"/>
  <c r="AA123" i="89"/>
  <c r="V134" i="89"/>
  <c r="A134" i="89"/>
  <c r="U134" i="89"/>
  <c r="W135" i="89" s="1"/>
  <c r="U136" i="89"/>
  <c r="W137" i="89" s="1"/>
  <c r="K140" i="89"/>
  <c r="K142" i="89" s="1"/>
  <c r="V138" i="89"/>
  <c r="U138" i="89"/>
  <c r="W139" i="89" s="1"/>
  <c r="K141" i="89"/>
  <c r="K152" i="89"/>
  <c r="J142" i="89"/>
  <c r="F154" i="89"/>
  <c r="O154" i="89"/>
  <c r="X150" i="89" s="1"/>
  <c r="X152" i="89" s="1"/>
  <c r="AA151" i="89"/>
  <c r="AA152" i="89" s="1"/>
  <c r="S152" i="89"/>
  <c r="S154" i="89" s="1"/>
  <c r="M153" i="89"/>
  <c r="T153" i="89" s="1"/>
  <c r="T155" i="89" s="1"/>
  <c r="O156" i="89"/>
  <c r="U6" i="89"/>
  <c r="X87" i="89"/>
  <c r="K144" i="89"/>
  <c r="E142" i="89"/>
  <c r="G142" i="89"/>
  <c r="I142" i="89"/>
  <c r="N142" i="89"/>
  <c r="R142" i="89"/>
  <c r="P162" i="89" l="1"/>
  <c r="N162" i="89"/>
  <c r="K154" i="89"/>
  <c r="K156" i="89" s="1"/>
  <c r="N167" i="89"/>
  <c r="P167" i="89"/>
  <c r="AB150" i="89"/>
  <c r="AB152" i="89" s="1"/>
  <c r="S156" i="89"/>
  <c r="T152" i="89"/>
  <c r="T154" i="89" s="1"/>
  <c r="T156" i="89" s="1"/>
  <c r="M154" i="89"/>
  <c r="W150" i="89" s="1"/>
  <c r="N165" i="89"/>
  <c r="P165" i="89"/>
  <c r="U87" i="89"/>
  <c r="V87" i="89"/>
  <c r="F156" i="89"/>
  <c r="J168" i="89" s="1"/>
  <c r="AA120" i="89"/>
  <c r="Y98" i="89"/>
  <c r="Y120" i="89" s="1"/>
  <c r="M155" i="89"/>
  <c r="V140" i="89"/>
  <c r="U140" i="89"/>
  <c r="T142" i="89"/>
  <c r="J163" i="89"/>
  <c r="V158" i="89"/>
  <c r="P166" i="89"/>
  <c r="N166" i="89"/>
  <c r="Q156" i="89"/>
  <c r="P164" i="89"/>
  <c r="N164" i="89"/>
  <c r="P168" i="89" l="1"/>
  <c r="N168" i="89"/>
  <c r="L163" i="89"/>
  <c r="P163" i="89"/>
  <c r="M156" i="89"/>
  <c r="W151" i="89"/>
  <c r="Y155" i="89" s="1"/>
  <c r="Z120" i="89"/>
  <c r="AB125" i="89"/>
  <c r="J169" i="89"/>
  <c r="P169" i="89" l="1"/>
  <c r="N169" i="89"/>
  <c r="W152" i="89"/>
  <c r="W153" i="89" s="1"/>
  <c r="AA153" i="89" l="1"/>
  <c r="Y153" i="89"/>
  <c r="AB153" i="89"/>
  <c r="D25" i="86" l="1"/>
  <c r="C25" i="86"/>
  <c r="E24" i="86"/>
  <c r="E23" i="86"/>
  <c r="E22" i="86"/>
  <c r="E21" i="86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7" i="86"/>
  <c r="E6" i="86"/>
  <c r="E5" i="86"/>
  <c r="G26" i="85"/>
  <c r="E26" i="85"/>
  <c r="D26" i="85"/>
  <c r="C26" i="85"/>
  <c r="F25" i="85"/>
  <c r="H25" i="85" s="1"/>
  <c r="H24" i="85"/>
  <c r="F24" i="85"/>
  <c r="F23" i="85"/>
  <c r="H23" i="85" s="1"/>
  <c r="F22" i="85"/>
  <c r="H22" i="85" s="1"/>
  <c r="F21" i="85"/>
  <c r="H21" i="85" s="1"/>
  <c r="F20" i="85"/>
  <c r="H20" i="85" s="1"/>
  <c r="F19" i="85"/>
  <c r="H19" i="85" s="1"/>
  <c r="F18" i="85"/>
  <c r="H18" i="85" s="1"/>
  <c r="F17" i="85"/>
  <c r="H17" i="85" s="1"/>
  <c r="F16" i="85"/>
  <c r="H16" i="85" s="1"/>
  <c r="F15" i="85"/>
  <c r="H15" i="85" s="1"/>
  <c r="F14" i="85"/>
  <c r="H14" i="85" s="1"/>
  <c r="F13" i="85"/>
  <c r="H13" i="85" s="1"/>
  <c r="F12" i="85"/>
  <c r="H12" i="85" s="1"/>
  <c r="F11" i="85"/>
  <c r="H11" i="85" s="1"/>
  <c r="F10" i="85"/>
  <c r="H10" i="85" s="1"/>
  <c r="F9" i="85"/>
  <c r="H9" i="85" s="1"/>
  <c r="F8" i="85"/>
  <c r="H8" i="85" s="1"/>
  <c r="F7" i="85"/>
  <c r="H7" i="85" s="1"/>
  <c r="F6" i="85"/>
  <c r="H6" i="85" s="1"/>
  <c r="F5" i="85"/>
  <c r="H5" i="85" s="1"/>
  <c r="F26" i="85" l="1"/>
  <c r="E25" i="86"/>
  <c r="H26" i="85"/>
  <c r="G18" i="84" l="1"/>
  <c r="G17" i="84"/>
  <c r="G16" i="84"/>
  <c r="G15" i="84"/>
  <c r="G14" i="84"/>
  <c r="G13" i="84"/>
  <c r="G12" i="84"/>
  <c r="G11" i="84"/>
  <c r="G10" i="84"/>
  <c r="G8" i="84"/>
  <c r="G7" i="84"/>
  <c r="G6" i="84"/>
  <c r="G5" i="84"/>
  <c r="G4" i="84"/>
  <c r="G3" i="84"/>
  <c r="Y19" i="83" l="1"/>
  <c r="X19" i="83"/>
  <c r="AF18" i="83"/>
  <c r="AF21" i="83" s="1"/>
  <c r="AE18" i="83"/>
  <c r="AC18" i="83"/>
  <c r="AB18" i="83"/>
  <c r="AC21" i="83" s="1"/>
  <c r="Y18" i="83"/>
  <c r="X18" i="83"/>
  <c r="AJ17" i="83"/>
  <c r="AI17" i="83"/>
  <c r="AJ16" i="83"/>
  <c r="AI16" i="83"/>
  <c r="AD16" i="83"/>
  <c r="AF15" i="83"/>
  <c r="AE15" i="83"/>
  <c r="AC15" i="83"/>
  <c r="AB15" i="83"/>
  <c r="X15" i="83"/>
  <c r="W15" i="83"/>
  <c r="M15" i="83" s="1"/>
  <c r="U15" i="83"/>
  <c r="T15" i="83"/>
  <c r="P15" i="83"/>
  <c r="O15" i="83"/>
  <c r="N15" i="83"/>
  <c r="AF14" i="83"/>
  <c r="AE14" i="83"/>
  <c r="AC14" i="83"/>
  <c r="AB14" i="83"/>
  <c r="X14" i="83"/>
  <c r="W14" i="83"/>
  <c r="M14" i="83" s="1"/>
  <c r="U14" i="83"/>
  <c r="T14" i="83"/>
  <c r="P14" i="83"/>
  <c r="O14" i="83"/>
  <c r="N14" i="83"/>
  <c r="AF13" i="83"/>
  <c r="AE13" i="83"/>
  <c r="AC13" i="83"/>
  <c r="AB13" i="83"/>
  <c r="X13" i="83"/>
  <c r="W13" i="83"/>
  <c r="M13" i="83" s="1"/>
  <c r="U13" i="83"/>
  <c r="T13" i="83"/>
  <c r="P13" i="83"/>
  <c r="O13" i="83"/>
  <c r="N13" i="83"/>
  <c r="AF12" i="83"/>
  <c r="AE12" i="83"/>
  <c r="AC12" i="83"/>
  <c r="AB12" i="83"/>
  <c r="X12" i="83"/>
  <c r="W12" i="83"/>
  <c r="M12" i="83" s="1"/>
  <c r="U12" i="83"/>
  <c r="P12" i="83" s="1"/>
  <c r="T12" i="83"/>
  <c r="O12" i="83"/>
  <c r="N12" i="83"/>
  <c r="AE11" i="83"/>
  <c r="AB11" i="83"/>
  <c r="X11" i="83"/>
  <c r="W11" i="83"/>
  <c r="U11" i="83"/>
  <c r="P11" i="83" s="1"/>
  <c r="T11" i="83"/>
  <c r="O11" i="83" s="1"/>
  <c r="N11" i="83"/>
  <c r="M11" i="83"/>
  <c r="AE10" i="83"/>
  <c r="AB10" i="83"/>
  <c r="X10" i="83"/>
  <c r="W10" i="83"/>
  <c r="M10" i="83" s="1"/>
  <c r="U10" i="83"/>
  <c r="T10" i="83"/>
  <c r="P10" i="83"/>
  <c r="O10" i="83"/>
  <c r="N10" i="83"/>
  <c r="AF9" i="83"/>
  <c r="AE9" i="83"/>
  <c r="AC9" i="83"/>
  <c r="AB9" i="83"/>
  <c r="X9" i="83"/>
  <c r="W9" i="83"/>
  <c r="M9" i="83" s="1"/>
  <c r="U9" i="83"/>
  <c r="T9" i="83"/>
  <c r="P9" i="83"/>
  <c r="O9" i="83"/>
  <c r="N9" i="83"/>
  <c r="AE8" i="83"/>
  <c r="AB8" i="83"/>
  <c r="X8" i="83"/>
  <c r="W8" i="83"/>
  <c r="U8" i="83"/>
  <c r="P8" i="83" s="1"/>
  <c r="T8" i="83"/>
  <c r="O8" i="83" s="1"/>
  <c r="N8" i="83"/>
  <c r="M8" i="83"/>
  <c r="AE7" i="83"/>
  <c r="AB7" i="83"/>
  <c r="X7" i="83"/>
  <c r="W7" i="83"/>
  <c r="M7" i="83" s="1"/>
  <c r="U7" i="83"/>
  <c r="T7" i="83"/>
  <c r="P7" i="83"/>
  <c r="O7" i="83"/>
  <c r="N7" i="83"/>
  <c r="AF6" i="83"/>
  <c r="AF16" i="83" s="1"/>
  <c r="AE6" i="83"/>
  <c r="AC6" i="83"/>
  <c r="AC16" i="83" s="1"/>
  <c r="AB6" i="83"/>
  <c r="X6" i="83"/>
  <c r="W6" i="83"/>
  <c r="M6" i="83" s="1"/>
  <c r="U6" i="83"/>
  <c r="P6" i="83" s="1"/>
  <c r="T6" i="83"/>
  <c r="O6" i="83"/>
  <c r="N6" i="83"/>
  <c r="AE5" i="83"/>
  <c r="W5" i="83" s="1"/>
  <c r="M5" i="83" s="1"/>
  <c r="AB5" i="83"/>
  <c r="X5" i="83"/>
  <c r="U5" i="83"/>
  <c r="T5" i="83"/>
  <c r="O5" i="83" s="1"/>
  <c r="P5" i="83"/>
  <c r="N5" i="83"/>
  <c r="AE4" i="83"/>
  <c r="AE16" i="83" s="1"/>
  <c r="AB4" i="83"/>
  <c r="X4" i="83"/>
  <c r="W4" i="83"/>
  <c r="M4" i="83" s="1"/>
  <c r="U4" i="83"/>
  <c r="P4" i="83" s="1"/>
  <c r="T4" i="83"/>
  <c r="O4" i="83"/>
  <c r="N4" i="83"/>
  <c r="AG49" i="82"/>
  <c r="AF49" i="82"/>
  <c r="AE49" i="82"/>
  <c r="AD49" i="82"/>
  <c r="AC49" i="82"/>
  <c r="AB49" i="82"/>
  <c r="AA49" i="82"/>
  <c r="Z49" i="82"/>
  <c r="Y49" i="82"/>
  <c r="X49" i="82"/>
  <c r="W49" i="82"/>
  <c r="V49" i="82"/>
  <c r="U49" i="82"/>
  <c r="T49" i="82"/>
  <c r="AH49" i="82" s="1"/>
  <c r="P49" i="82"/>
  <c r="O49" i="82"/>
  <c r="N49" i="82"/>
  <c r="M49" i="82"/>
  <c r="K49" i="82"/>
  <c r="J49" i="82"/>
  <c r="I49" i="82"/>
  <c r="H49" i="82"/>
  <c r="G49" i="82"/>
  <c r="F49" i="82"/>
  <c r="E49" i="82"/>
  <c r="D49" i="82"/>
  <c r="C49" i="82"/>
  <c r="AH48" i="82"/>
  <c r="Q48" i="82"/>
  <c r="R49" i="82" s="1"/>
  <c r="AH47" i="82"/>
  <c r="Q47" i="82"/>
  <c r="R47" i="82" s="1"/>
  <c r="A47" i="82"/>
  <c r="A48" i="82" s="1"/>
  <c r="AH46" i="82"/>
  <c r="Q46" i="82"/>
  <c r="R46" i="82" s="1"/>
  <c r="Q45" i="82"/>
  <c r="AH44" i="82"/>
  <c r="Q44" i="82"/>
  <c r="R44" i="82" s="1"/>
  <c r="AH43" i="82"/>
  <c r="Q43" i="82"/>
  <c r="AH42" i="82"/>
  <c r="Q42" i="82"/>
  <c r="R42" i="82" s="1"/>
  <c r="AH41" i="82"/>
  <c r="Q41" i="82"/>
  <c r="R41" i="82" s="1"/>
  <c r="AH40" i="82"/>
  <c r="Q40" i="82"/>
  <c r="R40" i="82" s="1"/>
  <c r="AH39" i="82"/>
  <c r="Q39" i="82"/>
  <c r="R39" i="82" s="1"/>
  <c r="AH38" i="82"/>
  <c r="Q38" i="82"/>
  <c r="R38" i="82" s="1"/>
  <c r="AH37" i="82"/>
  <c r="Q37" i="82"/>
  <c r="R37" i="82" s="1"/>
  <c r="AH36" i="82"/>
  <c r="Q36" i="82"/>
  <c r="R36" i="82" s="1"/>
  <c r="AH35" i="82"/>
  <c r="Q35" i="82"/>
  <c r="R35" i="82" s="1"/>
  <c r="AH34" i="82"/>
  <c r="Q34" i="82"/>
  <c r="R34" i="82" s="1"/>
  <c r="AH33" i="82"/>
  <c r="Q33" i="82"/>
  <c r="R33" i="82" s="1"/>
  <c r="AH32" i="82"/>
  <c r="Q32" i="82"/>
  <c r="R32" i="82" s="1"/>
  <c r="A32" i="82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H31" i="82"/>
  <c r="Q31" i="82"/>
  <c r="AH30" i="82"/>
  <c r="R30" i="82"/>
  <c r="Q30" i="82"/>
  <c r="AH29" i="82"/>
  <c r="L29" i="82"/>
  <c r="L49" i="82" s="1"/>
  <c r="AH28" i="82"/>
  <c r="Q28" i="82"/>
  <c r="AH27" i="82"/>
  <c r="Q27" i="82"/>
  <c r="R27" i="82" s="1"/>
  <c r="AH26" i="82"/>
  <c r="Q26" i="82"/>
  <c r="AH25" i="82"/>
  <c r="Q25" i="82"/>
  <c r="R25" i="82" s="1"/>
  <c r="AH24" i="82"/>
  <c r="Q24" i="82"/>
  <c r="AH23" i="82"/>
  <c r="Q23" i="82"/>
  <c r="R23" i="82" s="1"/>
  <c r="AH22" i="82"/>
  <c r="Q22" i="82"/>
  <c r="AH21" i="82"/>
  <c r="Q21" i="82"/>
  <c r="R21" i="82" s="1"/>
  <c r="AH20" i="82"/>
  <c r="Q20" i="82"/>
  <c r="AH19" i="82"/>
  <c r="Q19" i="82"/>
  <c r="R19" i="82" s="1"/>
  <c r="AH18" i="82"/>
  <c r="Q18" i="82"/>
  <c r="AH17" i="82"/>
  <c r="Q17" i="82"/>
  <c r="R17" i="82" s="1"/>
  <c r="AH16" i="82"/>
  <c r="Q16" i="82"/>
  <c r="AH15" i="82"/>
  <c r="Q15" i="82"/>
  <c r="R15" i="82" s="1"/>
  <c r="AH14" i="82"/>
  <c r="Q14" i="82"/>
  <c r="AH13" i="82"/>
  <c r="Q13" i="82"/>
  <c r="R13" i="82" s="1"/>
  <c r="AH12" i="82"/>
  <c r="Q12" i="82"/>
  <c r="AH11" i="82"/>
  <c r="Q11" i="82"/>
  <c r="R11" i="82" s="1"/>
  <c r="AH10" i="82"/>
  <c r="Q10" i="82"/>
  <c r="AH9" i="82"/>
  <c r="Q9" i="82"/>
  <c r="R9" i="82" s="1"/>
  <c r="AH8" i="82"/>
  <c r="Q8" i="82"/>
  <c r="R8" i="82" s="1"/>
  <c r="AH7" i="82"/>
  <c r="Q7" i="82"/>
  <c r="R7" i="82" s="1"/>
  <c r="AH6" i="82"/>
  <c r="Q6" i="82"/>
  <c r="R6" i="82" s="1"/>
  <c r="AH5" i="82"/>
  <c r="Q5" i="82"/>
  <c r="R5" i="82" s="1"/>
  <c r="AH4" i="82"/>
  <c r="Q4" i="82"/>
  <c r="R4" i="82" s="1"/>
  <c r="A4" i="82"/>
  <c r="A5" i="82" s="1"/>
  <c r="A6" i="82" s="1"/>
  <c r="A7" i="82" s="1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H3" i="82"/>
  <c r="Q3" i="82"/>
  <c r="C31" i="81"/>
  <c r="D15" i="80"/>
  <c r="C15" i="80"/>
  <c r="G14" i="80"/>
  <c r="G13" i="80"/>
  <c r="G12" i="80"/>
  <c r="G11" i="80"/>
  <c r="G10" i="80"/>
  <c r="G9" i="80"/>
  <c r="F9" i="80"/>
  <c r="G8" i="80"/>
  <c r="F8" i="80"/>
  <c r="G7" i="80"/>
  <c r="F7" i="80"/>
  <c r="G6" i="80"/>
  <c r="F6" i="80"/>
  <c r="G5" i="80"/>
  <c r="F4" i="80"/>
  <c r="F15" i="80" s="1"/>
  <c r="E3" i="80"/>
  <c r="G3" i="80" s="1"/>
  <c r="E44" i="79"/>
  <c r="D44" i="79"/>
  <c r="C44" i="79"/>
  <c r="E21" i="79"/>
  <c r="E20" i="79"/>
  <c r="X54" i="78"/>
  <c r="X55" i="78" s="1"/>
  <c r="W54" i="78"/>
  <c r="W55" i="78" s="1"/>
  <c r="W56" i="78" s="1"/>
  <c r="P54" i="78"/>
  <c r="P55" i="78" s="1"/>
  <c r="O54" i="78"/>
  <c r="O55" i="78" s="1"/>
  <c r="O56" i="78" s="1"/>
  <c r="C31" i="78"/>
  <c r="C33" i="78" s="1"/>
  <c r="E29" i="78"/>
  <c r="E21" i="78"/>
  <c r="F17" i="78"/>
  <c r="F21" i="78" s="1"/>
  <c r="F15" i="78"/>
  <c r="E11" i="78"/>
  <c r="F9" i="78"/>
  <c r="F16" i="78" s="1"/>
  <c r="E9" i="78"/>
  <c r="E16" i="78" s="1"/>
  <c r="E8" i="78"/>
  <c r="F7" i="78"/>
  <c r="F8" i="78" s="1"/>
  <c r="R24" i="77"/>
  <c r="M24" i="77"/>
  <c r="L24" i="77"/>
  <c r="G24" i="77"/>
  <c r="F24" i="77"/>
  <c r="C28" i="76"/>
  <c r="G25" i="76"/>
  <c r="C24" i="76"/>
  <c r="F24" i="76" s="1"/>
  <c r="C23" i="76"/>
  <c r="F23" i="76" s="1"/>
  <c r="C22" i="76"/>
  <c r="F22" i="76" s="1"/>
  <c r="N20" i="76"/>
  <c r="H19" i="76"/>
  <c r="C17" i="76"/>
  <c r="L17" i="76" s="1"/>
  <c r="E16" i="76"/>
  <c r="D16" i="76"/>
  <c r="D25" i="76" s="1"/>
  <c r="C15" i="76"/>
  <c r="I15" i="76" s="1"/>
  <c r="J15" i="76" s="1"/>
  <c r="C14" i="76"/>
  <c r="F12" i="76" s="1"/>
  <c r="C13" i="76"/>
  <c r="L13" i="76" s="1"/>
  <c r="C12" i="76"/>
  <c r="N21" i="76" s="1"/>
  <c r="N22" i="76" s="1"/>
  <c r="N23" i="76" s="1"/>
  <c r="I11" i="76"/>
  <c r="C11" i="76"/>
  <c r="H21" i="76" s="1"/>
  <c r="C10" i="76"/>
  <c r="L10" i="76" s="1"/>
  <c r="C9" i="76"/>
  <c r="L9" i="76" s="1"/>
  <c r="C8" i="76"/>
  <c r="L8" i="76" s="1"/>
  <c r="N7" i="76"/>
  <c r="E7" i="76"/>
  <c r="E25" i="76" s="1"/>
  <c r="C6" i="76"/>
  <c r="I6" i="76" s="1"/>
  <c r="I19" i="76" s="1"/>
  <c r="I5" i="76"/>
  <c r="Y19" i="75"/>
  <c r="X19" i="75"/>
  <c r="AF18" i="75"/>
  <c r="AE18" i="75"/>
  <c r="AF21" i="75" s="1"/>
  <c r="AC18" i="75"/>
  <c r="AB18" i="75"/>
  <c r="AC21" i="75" s="1"/>
  <c r="Y18" i="75"/>
  <c r="X18" i="75"/>
  <c r="AJ17" i="75"/>
  <c r="AI17" i="75"/>
  <c r="AJ16" i="75"/>
  <c r="AI16" i="75"/>
  <c r="AD16" i="75"/>
  <c r="AF15" i="75"/>
  <c r="AE15" i="75"/>
  <c r="AC15" i="75"/>
  <c r="AB15" i="75"/>
  <c r="X15" i="75"/>
  <c r="N15" i="75" s="1"/>
  <c r="W15" i="75"/>
  <c r="M15" i="75" s="1"/>
  <c r="U15" i="75"/>
  <c r="T15" i="75"/>
  <c r="P15" i="75"/>
  <c r="O15" i="75"/>
  <c r="AF14" i="75"/>
  <c r="AE14" i="75"/>
  <c r="AC14" i="75"/>
  <c r="AB14" i="75"/>
  <c r="X14" i="75"/>
  <c r="N14" i="75" s="1"/>
  <c r="W14" i="75"/>
  <c r="M14" i="75" s="1"/>
  <c r="U14" i="75"/>
  <c r="T14" i="75"/>
  <c r="P14" i="75"/>
  <c r="O14" i="75"/>
  <c r="AF13" i="75"/>
  <c r="AE13" i="75"/>
  <c r="AC13" i="75"/>
  <c r="AB13" i="75"/>
  <c r="X13" i="75"/>
  <c r="N13" i="75" s="1"/>
  <c r="W13" i="75"/>
  <c r="M13" i="75" s="1"/>
  <c r="U13" i="75"/>
  <c r="T13" i="75"/>
  <c r="P13" i="75"/>
  <c r="O13" i="75"/>
  <c r="AF12" i="75"/>
  <c r="AE12" i="75"/>
  <c r="AC12" i="75"/>
  <c r="AB12" i="75"/>
  <c r="X12" i="75"/>
  <c r="N12" i="75" s="1"/>
  <c r="W12" i="75"/>
  <c r="M12" i="75" s="1"/>
  <c r="U12" i="75"/>
  <c r="T12" i="75"/>
  <c r="P12" i="75"/>
  <c r="O12" i="75"/>
  <c r="AE11" i="75"/>
  <c r="W11" i="75" s="1"/>
  <c r="AB11" i="75"/>
  <c r="T11" i="75" s="1"/>
  <c r="O11" i="75" s="1"/>
  <c r="X11" i="75"/>
  <c r="U11" i="75"/>
  <c r="P11" i="75"/>
  <c r="N11" i="75"/>
  <c r="AE10" i="75"/>
  <c r="W10" i="75" s="1"/>
  <c r="AB10" i="75"/>
  <c r="T10" i="75" s="1"/>
  <c r="O10" i="75" s="1"/>
  <c r="X10" i="75"/>
  <c r="U10" i="75"/>
  <c r="P10" i="75"/>
  <c r="N10" i="75"/>
  <c r="AF9" i="75"/>
  <c r="AE9" i="75"/>
  <c r="AC9" i="75"/>
  <c r="AB9" i="75"/>
  <c r="X9" i="75"/>
  <c r="N9" i="75" s="1"/>
  <c r="W9" i="75"/>
  <c r="M9" i="75" s="1"/>
  <c r="U9" i="75"/>
  <c r="T9" i="75"/>
  <c r="P9" i="75"/>
  <c r="O9" i="75"/>
  <c r="AE8" i="75"/>
  <c r="W8" i="75" s="1"/>
  <c r="AB8" i="75"/>
  <c r="T8" i="75" s="1"/>
  <c r="O8" i="75" s="1"/>
  <c r="X8" i="75"/>
  <c r="U8" i="75"/>
  <c r="P8" i="75"/>
  <c r="N8" i="75"/>
  <c r="AE7" i="75"/>
  <c r="W7" i="75" s="1"/>
  <c r="AB7" i="75"/>
  <c r="T7" i="75" s="1"/>
  <c r="O7" i="75" s="1"/>
  <c r="X7" i="75"/>
  <c r="U7" i="75"/>
  <c r="P7" i="75"/>
  <c r="N7" i="75"/>
  <c r="AF6" i="75"/>
  <c r="AF16" i="75" s="1"/>
  <c r="AE6" i="75"/>
  <c r="AC6" i="75"/>
  <c r="AC16" i="75" s="1"/>
  <c r="AB6" i="75"/>
  <c r="X6" i="75"/>
  <c r="N6" i="75" s="1"/>
  <c r="W6" i="75"/>
  <c r="M6" i="75" s="1"/>
  <c r="U6" i="75"/>
  <c r="T6" i="75"/>
  <c r="P6" i="75"/>
  <c r="O6" i="75"/>
  <c r="AE5" i="75"/>
  <c r="W5" i="75" s="1"/>
  <c r="AB5" i="75"/>
  <c r="T5" i="75" s="1"/>
  <c r="O5" i="75" s="1"/>
  <c r="X5" i="75"/>
  <c r="U5" i="75"/>
  <c r="P5" i="75"/>
  <c r="N5" i="75"/>
  <c r="AE4" i="75"/>
  <c r="AB4" i="75"/>
  <c r="T4" i="75" s="1"/>
  <c r="O4" i="75" s="1"/>
  <c r="X4" i="75"/>
  <c r="U4" i="75"/>
  <c r="P4" i="75"/>
  <c r="N4" i="75"/>
  <c r="F33" i="74"/>
  <c r="E33" i="74"/>
  <c r="D33" i="74"/>
  <c r="C33" i="74"/>
  <c r="K32" i="74"/>
  <c r="L32" i="74" s="1"/>
  <c r="I32" i="74"/>
  <c r="J32" i="74" s="1"/>
  <c r="K31" i="74"/>
  <c r="L31" i="74" s="1"/>
  <c r="I31" i="74"/>
  <c r="J31" i="74" s="1"/>
  <c r="K30" i="74"/>
  <c r="L30" i="74" s="1"/>
  <c r="I30" i="74"/>
  <c r="J30" i="74" s="1"/>
  <c r="K29" i="74"/>
  <c r="L29" i="74" s="1"/>
  <c r="I29" i="74"/>
  <c r="J29" i="74" s="1"/>
  <c r="K28" i="74"/>
  <c r="L28" i="74" s="1"/>
  <c r="I28" i="74"/>
  <c r="J28" i="74" s="1"/>
  <c r="I27" i="74"/>
  <c r="J27" i="74" s="1"/>
  <c r="K26" i="74"/>
  <c r="L26" i="74" s="1"/>
  <c r="I26" i="74"/>
  <c r="J26" i="74" s="1"/>
  <c r="K25" i="74"/>
  <c r="L25" i="74" s="1"/>
  <c r="I25" i="74"/>
  <c r="J25" i="74" s="1"/>
  <c r="L21" i="74"/>
  <c r="K21" i="74"/>
  <c r="J21" i="74"/>
  <c r="I21" i="74"/>
  <c r="K20" i="74"/>
  <c r="L20" i="74" s="1"/>
  <c r="I20" i="74"/>
  <c r="J20" i="74" s="1"/>
  <c r="K19" i="74"/>
  <c r="L19" i="74" s="1"/>
  <c r="I19" i="74"/>
  <c r="J19" i="74" s="1"/>
  <c r="K18" i="74"/>
  <c r="L18" i="74" s="1"/>
  <c r="I18" i="74"/>
  <c r="J18" i="74" s="1"/>
  <c r="K17" i="74"/>
  <c r="L17" i="74" s="1"/>
  <c r="I17" i="74"/>
  <c r="J17" i="74" s="1"/>
  <c r="K16" i="74"/>
  <c r="L16" i="74" s="1"/>
  <c r="I16" i="74"/>
  <c r="J16" i="74" s="1"/>
  <c r="K15" i="74"/>
  <c r="L15" i="74" s="1"/>
  <c r="I15" i="74"/>
  <c r="J15" i="74" s="1"/>
  <c r="K14" i="74"/>
  <c r="L14" i="74" s="1"/>
  <c r="I14" i="74"/>
  <c r="J14" i="74" s="1"/>
  <c r="K13" i="74"/>
  <c r="L13" i="74" s="1"/>
  <c r="I13" i="74"/>
  <c r="J13" i="74" s="1"/>
  <c r="K12" i="74"/>
  <c r="L12" i="74" s="1"/>
  <c r="I12" i="74"/>
  <c r="J12" i="74" s="1"/>
  <c r="K11" i="74"/>
  <c r="L11" i="74" s="1"/>
  <c r="I11" i="74"/>
  <c r="J11" i="74" s="1"/>
  <c r="K10" i="74"/>
  <c r="L10" i="74" s="1"/>
  <c r="I10" i="74"/>
  <c r="J10" i="74" s="1"/>
  <c r="K9" i="74"/>
  <c r="L9" i="74" s="1"/>
  <c r="I9" i="74"/>
  <c r="J9" i="74" s="1"/>
  <c r="K8" i="74"/>
  <c r="L8" i="74" s="1"/>
  <c r="I8" i="74"/>
  <c r="J8" i="74" s="1"/>
  <c r="K7" i="74"/>
  <c r="L7" i="74" s="1"/>
  <c r="I7" i="74"/>
  <c r="J7" i="74" s="1"/>
  <c r="K6" i="74"/>
  <c r="L6" i="74" s="1"/>
  <c r="I6" i="74"/>
  <c r="J6" i="74" s="1"/>
  <c r="K5" i="74"/>
  <c r="L5" i="74" s="1"/>
  <c r="I5" i="74"/>
  <c r="J5" i="74" s="1"/>
  <c r="K4" i="74"/>
  <c r="K33" i="74" s="1"/>
  <c r="I4" i="74"/>
  <c r="D31" i="73"/>
  <c r="C31" i="73"/>
  <c r="B31" i="73"/>
  <c r="T30" i="73"/>
  <c r="U30" i="73" s="1"/>
  <c r="F30" i="73"/>
  <c r="T29" i="73"/>
  <c r="U29" i="73" s="1"/>
  <c r="F29" i="73"/>
  <c r="U28" i="73"/>
  <c r="T28" i="73"/>
  <c r="F28" i="73"/>
  <c r="T27" i="73"/>
  <c r="U27" i="73" s="1"/>
  <c r="P27" i="73"/>
  <c r="F27" i="73"/>
  <c r="T26" i="73"/>
  <c r="U26" i="73" s="1"/>
  <c r="F26" i="73"/>
  <c r="U25" i="73"/>
  <c r="T25" i="73"/>
  <c r="P25" i="73"/>
  <c r="N25" i="73"/>
  <c r="F25" i="73"/>
  <c r="U24" i="73"/>
  <c r="P24" i="73"/>
  <c r="F24" i="73"/>
  <c r="U23" i="73"/>
  <c r="P23" i="73"/>
  <c r="N23" i="73"/>
  <c r="F23" i="73"/>
  <c r="U22" i="73"/>
  <c r="T22" i="73"/>
  <c r="P22" i="73"/>
  <c r="N22" i="73"/>
  <c r="F22" i="73"/>
  <c r="P21" i="73"/>
  <c r="N21" i="73"/>
  <c r="T20" i="73"/>
  <c r="U20" i="73" s="1"/>
  <c r="P20" i="73"/>
  <c r="N20" i="73"/>
  <c r="F20" i="73"/>
  <c r="P19" i="73"/>
  <c r="N19" i="73"/>
  <c r="F19" i="73"/>
  <c r="S18" i="73"/>
  <c r="R18" i="73"/>
  <c r="T18" i="73" s="1"/>
  <c r="U18" i="73" s="1"/>
  <c r="P18" i="73"/>
  <c r="N18" i="73"/>
  <c r="F18" i="73"/>
  <c r="S17" i="73"/>
  <c r="R17" i="73"/>
  <c r="T17" i="73" s="1"/>
  <c r="U17" i="73" s="1"/>
  <c r="F17" i="73"/>
  <c r="P16" i="73"/>
  <c r="J16" i="73"/>
  <c r="N16" i="73" s="1"/>
  <c r="P15" i="73"/>
  <c r="N15" i="73"/>
  <c r="F15" i="73"/>
  <c r="T13" i="73"/>
  <c r="U13" i="73" s="1"/>
  <c r="F13" i="73"/>
  <c r="S12" i="73"/>
  <c r="R12" i="73"/>
  <c r="T12" i="73" s="1"/>
  <c r="U12" i="73" s="1"/>
  <c r="P12" i="73"/>
  <c r="N12" i="73"/>
  <c r="F12" i="73"/>
  <c r="T11" i="73"/>
  <c r="U11" i="73" s="1"/>
  <c r="P11" i="73"/>
  <c r="J11" i="73"/>
  <c r="N11" i="73" s="1"/>
  <c r="F11" i="73"/>
  <c r="P10" i="73"/>
  <c r="N10" i="73"/>
  <c r="X9" i="73"/>
  <c r="W9" i="73"/>
  <c r="Y9" i="73" s="1"/>
  <c r="Z9" i="73" s="1"/>
  <c r="S9" i="73"/>
  <c r="R9" i="73"/>
  <c r="P9" i="73"/>
  <c r="J9" i="73"/>
  <c r="N9" i="73" s="1"/>
  <c r="F9" i="73"/>
  <c r="T8" i="73"/>
  <c r="U8" i="73" s="1"/>
  <c r="P8" i="73"/>
  <c r="N8" i="73"/>
  <c r="F8" i="73"/>
  <c r="T7" i="73"/>
  <c r="U7" i="73" s="1"/>
  <c r="P7" i="73"/>
  <c r="N7" i="73"/>
  <c r="F7" i="73"/>
  <c r="T6" i="73"/>
  <c r="U6" i="73" s="1"/>
  <c r="P6" i="73"/>
  <c r="N6" i="73"/>
  <c r="F6" i="73"/>
  <c r="T5" i="73"/>
  <c r="U5" i="73" s="1"/>
  <c r="P5" i="73"/>
  <c r="N5" i="73"/>
  <c r="F5" i="73"/>
  <c r="T4" i="73"/>
  <c r="U4" i="73" s="1"/>
  <c r="P4" i="73"/>
  <c r="N4" i="73"/>
  <c r="F4" i="73"/>
  <c r="U3" i="73"/>
  <c r="T3" i="73"/>
  <c r="P3" i="73"/>
  <c r="N3" i="73"/>
  <c r="F3" i="73"/>
  <c r="F31" i="73" s="1"/>
  <c r="F34" i="73" s="1"/>
  <c r="R27" i="72"/>
  <c r="Q27" i="72"/>
  <c r="P27" i="72"/>
  <c r="O27" i="72"/>
  <c r="N27" i="72"/>
  <c r="M27" i="72"/>
  <c r="L27" i="72"/>
  <c r="K27" i="72"/>
  <c r="J27" i="72"/>
  <c r="I27" i="72"/>
  <c r="H27" i="72"/>
  <c r="G27" i="72"/>
  <c r="F27" i="72"/>
  <c r="E27" i="72"/>
  <c r="D27" i="72"/>
  <c r="C27" i="72"/>
  <c r="S26" i="72"/>
  <c r="S25" i="72"/>
  <c r="S24" i="72"/>
  <c r="S23" i="72"/>
  <c r="S22" i="72"/>
  <c r="S21" i="72"/>
  <c r="S20" i="72"/>
  <c r="S19" i="72"/>
  <c r="S18" i="72"/>
  <c r="S17" i="72"/>
  <c r="S16" i="72"/>
  <c r="S15" i="72"/>
  <c r="S14" i="72"/>
  <c r="S13" i="72"/>
  <c r="S12" i="72"/>
  <c r="S11" i="72"/>
  <c r="S10" i="72"/>
  <c r="S9" i="72"/>
  <c r="S8" i="72"/>
  <c r="S7" i="72"/>
  <c r="S6" i="72"/>
  <c r="F45" i="71"/>
  <c r="E45" i="71"/>
  <c r="D45" i="71"/>
  <c r="C45" i="71"/>
  <c r="G44" i="71"/>
  <c r="G43" i="71"/>
  <c r="G42" i="71"/>
  <c r="U41" i="71"/>
  <c r="G41" i="71"/>
  <c r="U40" i="71"/>
  <c r="G40" i="71"/>
  <c r="G39" i="71"/>
  <c r="G38" i="71"/>
  <c r="U37" i="71"/>
  <c r="G37" i="71"/>
  <c r="G36" i="71"/>
  <c r="G35" i="71"/>
  <c r="G34" i="71"/>
  <c r="U33" i="71"/>
  <c r="G33" i="71"/>
  <c r="U32" i="71"/>
  <c r="G32" i="71"/>
  <c r="G31" i="71"/>
  <c r="U30" i="71"/>
  <c r="G30" i="71"/>
  <c r="U29" i="71"/>
  <c r="G29" i="71"/>
  <c r="U28" i="71"/>
  <c r="G28" i="71"/>
  <c r="U27" i="71"/>
  <c r="G27" i="71"/>
  <c r="G26" i="71"/>
  <c r="G25" i="71"/>
  <c r="U24" i="71"/>
  <c r="G24" i="71"/>
  <c r="A24" i="7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U23" i="71"/>
  <c r="G23" i="71"/>
  <c r="U22" i="71"/>
  <c r="E24" i="70"/>
  <c r="E23" i="70"/>
  <c r="E22" i="70"/>
  <c r="E21" i="70"/>
  <c r="E19" i="70"/>
  <c r="E18" i="70"/>
  <c r="E17" i="70"/>
  <c r="M23" i="65"/>
  <c r="M18" i="65"/>
  <c r="R10" i="82" l="1"/>
  <c r="R12" i="82"/>
  <c r="R14" i="82"/>
  <c r="R16" i="82"/>
  <c r="R18" i="82"/>
  <c r="R20" i="82"/>
  <c r="R22" i="82"/>
  <c r="R24" i="82"/>
  <c r="R26" i="82"/>
  <c r="R28" i="82"/>
  <c r="R43" i="82"/>
  <c r="P28" i="73"/>
  <c r="S31" i="73"/>
  <c r="AB16" i="75"/>
  <c r="AL14" i="75" s="1"/>
  <c r="F9" i="76"/>
  <c r="I14" i="76"/>
  <c r="J14" i="76" s="1"/>
  <c r="G45" i="71"/>
  <c r="U36" i="71"/>
  <c r="C28" i="72"/>
  <c r="L28" i="72"/>
  <c r="N28" i="73"/>
  <c r="I33" i="74"/>
  <c r="J33" i="74" s="1"/>
  <c r="AE16" i="75"/>
  <c r="M5" i="75"/>
  <c r="M7" i="75"/>
  <c r="M8" i="75"/>
  <c r="M10" i="75"/>
  <c r="M11" i="75"/>
  <c r="S27" i="72"/>
  <c r="S34" i="72" s="1"/>
  <c r="F28" i="72"/>
  <c r="T9" i="73"/>
  <c r="U9" i="73" s="1"/>
  <c r="R31" i="82"/>
  <c r="AB16" i="83"/>
  <c r="AL14" i="83" s="1"/>
  <c r="AF17" i="75"/>
  <c r="AI15" i="75"/>
  <c r="AI14" i="75" s="1"/>
  <c r="E22" i="78"/>
  <c r="F22" i="78"/>
  <c r="R31" i="73"/>
  <c r="J4" i="74"/>
  <c r="L4" i="74"/>
  <c r="W4" i="75"/>
  <c r="M4" i="75" s="1"/>
  <c r="F6" i="76"/>
  <c r="C7" i="76"/>
  <c r="F8" i="76"/>
  <c r="I9" i="76"/>
  <c r="J9" i="76" s="1"/>
  <c r="F10" i="76"/>
  <c r="I12" i="76"/>
  <c r="I18" i="76" s="1"/>
  <c r="N12" i="76"/>
  <c r="N14" i="76" s="1"/>
  <c r="N15" i="76" s="1"/>
  <c r="I13" i="76"/>
  <c r="C16" i="76"/>
  <c r="F17" i="76"/>
  <c r="H18" i="76"/>
  <c r="C25" i="76"/>
  <c r="E31" i="78"/>
  <c r="E33" i="78" s="1"/>
  <c r="E15" i="80"/>
  <c r="AF17" i="83"/>
  <c r="AI15" i="83"/>
  <c r="AI14" i="83" s="1"/>
  <c r="I8" i="76"/>
  <c r="J8" i="76" s="1"/>
  <c r="I10" i="76"/>
  <c r="J10" i="76" s="1"/>
  <c r="I17" i="76"/>
  <c r="J17" i="76" s="1"/>
  <c r="G4" i="80"/>
  <c r="G15" i="80" s="1"/>
  <c r="R3" i="82"/>
  <c r="Q29" i="82"/>
  <c r="R29" i="82" s="1"/>
  <c r="R48" i="82"/>
  <c r="I21" i="76" l="1"/>
  <c r="F16" i="76"/>
  <c r="L16" i="76"/>
  <c r="I16" i="76"/>
  <c r="J16" i="76" s="1"/>
  <c r="Q49" i="82"/>
  <c r="J12" i="76"/>
  <c r="H20" i="76"/>
  <c r="M7" i="76"/>
  <c r="I7" i="76"/>
  <c r="L7" i="76"/>
  <c r="F7" i="76"/>
  <c r="F25" i="76" s="1"/>
  <c r="L18" i="76" l="1"/>
  <c r="L19" i="76" s="1"/>
  <c r="I20" i="76"/>
  <c r="J5" i="76"/>
  <c r="L21" i="76"/>
  <c r="I25" i="76" l="1"/>
  <c r="J18" i="76"/>
  <c r="E14" i="45" l="1"/>
  <c r="D14" i="45"/>
  <c r="C14" i="45"/>
  <c r="F13" i="45"/>
  <c r="F12" i="45"/>
  <c r="F11" i="45"/>
  <c r="F10" i="45"/>
  <c r="F9" i="45"/>
  <c r="F8" i="45"/>
  <c r="F7" i="45"/>
  <c r="F6" i="45"/>
  <c r="F5" i="45"/>
  <c r="F4" i="45"/>
  <c r="F3" i="45"/>
  <c r="E30" i="44"/>
  <c r="D30" i="44"/>
  <c r="C30" i="44"/>
  <c r="F29" i="44"/>
  <c r="F28" i="44"/>
  <c r="F27" i="44"/>
  <c r="F26" i="44"/>
  <c r="F25" i="44"/>
  <c r="F24" i="44"/>
  <c r="F23" i="44"/>
  <c r="F22" i="44"/>
  <c r="F21" i="44"/>
  <c r="F20" i="44"/>
  <c r="F19" i="44"/>
  <c r="F30" i="44" s="1"/>
  <c r="E14" i="44"/>
  <c r="D14" i="44"/>
  <c r="C14" i="44"/>
  <c r="F13" i="44"/>
  <c r="F12" i="44"/>
  <c r="F11" i="44"/>
  <c r="F10" i="44"/>
  <c r="F9" i="44"/>
  <c r="F8" i="44"/>
  <c r="F7" i="44"/>
  <c r="F6" i="44"/>
  <c r="F5" i="44"/>
  <c r="F4" i="44"/>
  <c r="F3" i="44"/>
  <c r="E30" i="43"/>
  <c r="D30" i="43"/>
  <c r="C30" i="43"/>
  <c r="F29" i="43"/>
  <c r="F28" i="43"/>
  <c r="F27" i="43"/>
  <c r="F26" i="43"/>
  <c r="F25" i="43"/>
  <c r="F24" i="43"/>
  <c r="F23" i="43"/>
  <c r="F22" i="43"/>
  <c r="F21" i="43"/>
  <c r="F20" i="43"/>
  <c r="E14" i="43"/>
  <c r="D14" i="43"/>
  <c r="C14" i="43"/>
  <c r="F13" i="43"/>
  <c r="F12" i="43"/>
  <c r="F11" i="43"/>
  <c r="F10" i="43"/>
  <c r="F9" i="43"/>
  <c r="F8" i="43"/>
  <c r="F7" i="43"/>
  <c r="F6" i="43"/>
  <c r="F5" i="43"/>
  <c r="F4" i="43"/>
  <c r="L21" i="42"/>
  <c r="K21" i="42"/>
  <c r="L19" i="42"/>
  <c r="L24" i="42" s="1"/>
  <c r="K19" i="42"/>
  <c r="K24" i="42" s="1"/>
  <c r="C33" i="39"/>
  <c r="B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C14" i="39"/>
  <c r="B14" i="39"/>
  <c r="D13" i="39"/>
  <c r="D12" i="39"/>
  <c r="D11" i="39"/>
  <c r="D10" i="39"/>
  <c r="D9" i="39"/>
  <c r="D8" i="39"/>
  <c r="D7" i="39"/>
  <c r="D6" i="39"/>
  <c r="D5" i="39"/>
  <c r="C31" i="38"/>
  <c r="D31" i="38" s="1"/>
  <c r="B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3" i="38"/>
  <c r="D12" i="38"/>
  <c r="C11" i="38"/>
  <c r="C14" i="38" s="1"/>
  <c r="D14" i="38" s="1"/>
  <c r="B11" i="38"/>
  <c r="B14" i="38" s="1"/>
  <c r="D10" i="38"/>
  <c r="D9" i="38"/>
  <c r="D8" i="38"/>
  <c r="D7" i="38"/>
  <c r="D6" i="38"/>
  <c r="D5" i="38"/>
  <c r="D4" i="38"/>
  <c r="J33" i="37"/>
  <c r="I33" i="37"/>
  <c r="H33" i="37"/>
  <c r="G33" i="37"/>
  <c r="F33" i="37"/>
  <c r="E33" i="37"/>
  <c r="D33" i="37"/>
  <c r="C33" i="37"/>
  <c r="B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J16" i="37"/>
  <c r="I16" i="37"/>
  <c r="H16" i="37"/>
  <c r="G16" i="37"/>
  <c r="F16" i="37"/>
  <c r="E16" i="37"/>
  <c r="D16" i="37"/>
  <c r="C16" i="37"/>
  <c r="B16" i="37"/>
  <c r="K15" i="37"/>
  <c r="K14" i="37"/>
  <c r="K13" i="37"/>
  <c r="K12" i="37"/>
  <c r="K11" i="37"/>
  <c r="K10" i="37"/>
  <c r="K9" i="37"/>
  <c r="K8" i="37"/>
  <c r="K7" i="37"/>
  <c r="K6" i="37"/>
  <c r="K5" i="37"/>
  <c r="K4" i="37"/>
  <c r="K16" i="37" s="1"/>
  <c r="J36" i="35"/>
  <c r="I36" i="35"/>
  <c r="H36" i="35"/>
  <c r="G36" i="35"/>
  <c r="F36" i="35"/>
  <c r="E36" i="35"/>
  <c r="D36" i="35"/>
  <c r="C36" i="35"/>
  <c r="B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C41" i="33"/>
  <c r="D41" i="33" s="1"/>
  <c r="E41" i="33" s="1"/>
  <c r="B41" i="33"/>
  <c r="D40" i="33"/>
  <c r="E40" i="33" s="1"/>
  <c r="D39" i="33"/>
  <c r="E39" i="33" s="1"/>
  <c r="D38" i="33"/>
  <c r="E38" i="33" s="1"/>
  <c r="D37" i="33"/>
  <c r="E37" i="33" s="1"/>
  <c r="D36" i="33"/>
  <c r="E36" i="33" s="1"/>
  <c r="D35" i="33"/>
  <c r="E35" i="33" s="1"/>
  <c r="D34" i="33"/>
  <c r="E34" i="33" s="1"/>
  <c r="D33" i="33"/>
  <c r="E33" i="33" s="1"/>
  <c r="D32" i="33"/>
  <c r="E32" i="33" s="1"/>
  <c r="D31" i="33"/>
  <c r="E31" i="33" s="1"/>
  <c r="D30" i="33"/>
  <c r="E30" i="33" s="1"/>
  <c r="D29" i="33"/>
  <c r="E29" i="33" s="1"/>
  <c r="D28" i="33"/>
  <c r="E28" i="33" s="1"/>
  <c r="D27" i="33"/>
  <c r="E27" i="33" s="1"/>
  <c r="D26" i="33"/>
  <c r="E26" i="33" s="1"/>
  <c r="D25" i="33"/>
  <c r="E25" i="33" s="1"/>
  <c r="D24" i="33"/>
  <c r="E24" i="33" s="1"/>
  <c r="D23" i="33"/>
  <c r="E23" i="33" s="1"/>
  <c r="D22" i="33"/>
  <c r="E22" i="33" s="1"/>
  <c r="D21" i="33"/>
  <c r="E21" i="33" s="1"/>
  <c r="D20" i="33"/>
  <c r="E20" i="33" s="1"/>
  <c r="C42" i="31"/>
  <c r="B42" i="31"/>
  <c r="D41" i="31"/>
  <c r="E41" i="31" s="1"/>
  <c r="D40" i="31"/>
  <c r="E40" i="31" s="1"/>
  <c r="D39" i="31"/>
  <c r="E39" i="31" s="1"/>
  <c r="D38" i="31"/>
  <c r="E38" i="31" s="1"/>
  <c r="D37" i="31"/>
  <c r="E37" i="31" s="1"/>
  <c r="D36" i="31"/>
  <c r="E36" i="31" s="1"/>
  <c r="D35" i="31"/>
  <c r="E35" i="31" s="1"/>
  <c r="D34" i="31"/>
  <c r="E34" i="31" s="1"/>
  <c r="D33" i="31"/>
  <c r="E33" i="31" s="1"/>
  <c r="D32" i="31"/>
  <c r="E32" i="31" s="1"/>
  <c r="D31" i="31"/>
  <c r="E31" i="31" s="1"/>
  <c r="D30" i="31"/>
  <c r="E30" i="31" s="1"/>
  <c r="D29" i="31"/>
  <c r="E29" i="31" s="1"/>
  <c r="D28" i="31"/>
  <c r="E28" i="31" s="1"/>
  <c r="D27" i="31"/>
  <c r="E27" i="31" s="1"/>
  <c r="D26" i="31"/>
  <c r="E26" i="31" s="1"/>
  <c r="D25" i="31"/>
  <c r="E25" i="31" s="1"/>
  <c r="D24" i="31"/>
  <c r="E24" i="31" s="1"/>
  <c r="D23" i="31"/>
  <c r="E23" i="31" s="1"/>
  <c r="D22" i="31"/>
  <c r="E22" i="31" s="1"/>
  <c r="D21" i="31"/>
  <c r="E21" i="31" s="1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W14" i="30"/>
  <c r="W13" i="30"/>
  <c r="W12" i="30"/>
  <c r="W11" i="30"/>
  <c r="W10" i="30"/>
  <c r="W9" i="30"/>
  <c r="W8" i="30"/>
  <c r="W7" i="30"/>
  <c r="W6" i="30"/>
  <c r="W5" i="30"/>
  <c r="W4" i="30"/>
  <c r="W3" i="30"/>
  <c r="W15" i="30" s="1"/>
  <c r="K33" i="37" l="1"/>
  <c r="D14" i="39"/>
  <c r="F30" i="43"/>
  <c r="F14" i="44"/>
  <c r="F14" i="45"/>
  <c r="D42" i="31"/>
  <c r="E42" i="31" s="1"/>
  <c r="K36" i="35"/>
  <c r="D33" i="39"/>
  <c r="F14" i="43"/>
  <c r="D11" i="38"/>
  <c r="G24" i="26" l="1"/>
  <c r="F24" i="26"/>
  <c r="E24" i="26"/>
  <c r="D24" i="26"/>
  <c r="C24" i="26"/>
  <c r="B24" i="26"/>
  <c r="H28" i="26" s="1"/>
  <c r="J23" i="26"/>
  <c r="K23" i="26" s="1"/>
  <c r="H23" i="26"/>
  <c r="J22" i="26"/>
  <c r="K22" i="26" s="1"/>
  <c r="H22" i="26"/>
  <c r="J21" i="26"/>
  <c r="K21" i="26" s="1"/>
  <c r="H21" i="26"/>
  <c r="J20" i="26"/>
  <c r="K20" i="26" s="1"/>
  <c r="H20" i="26"/>
  <c r="K19" i="26"/>
  <c r="J19" i="26"/>
  <c r="H19" i="26"/>
  <c r="J18" i="26"/>
  <c r="K18" i="26" s="1"/>
  <c r="H18" i="26"/>
  <c r="J17" i="26"/>
  <c r="K17" i="26" s="1"/>
  <c r="H17" i="26"/>
  <c r="J16" i="26"/>
  <c r="K16" i="26" s="1"/>
  <c r="H16" i="26"/>
  <c r="K15" i="26"/>
  <c r="J15" i="26"/>
  <c r="H15" i="26"/>
  <c r="J14" i="26"/>
  <c r="K14" i="26" s="1"/>
  <c r="H14" i="26"/>
  <c r="J13" i="26"/>
  <c r="K13" i="26" s="1"/>
  <c r="H13" i="26"/>
  <c r="J12" i="26"/>
  <c r="K12" i="26" s="1"/>
  <c r="H12" i="26"/>
  <c r="K11" i="26"/>
  <c r="J11" i="26"/>
  <c r="H11" i="26"/>
  <c r="J10" i="26"/>
  <c r="K10" i="26" s="1"/>
  <c r="H10" i="26"/>
  <c r="J9" i="26"/>
  <c r="K9" i="26" s="1"/>
  <c r="H9" i="26"/>
  <c r="J8" i="26"/>
  <c r="K8" i="26" s="1"/>
  <c r="H8" i="26"/>
  <c r="K7" i="26"/>
  <c r="J7" i="26"/>
  <c r="H7" i="26"/>
  <c r="J6" i="26"/>
  <c r="K6" i="26" s="1"/>
  <c r="H6" i="26"/>
  <c r="J5" i="26"/>
  <c r="K5" i="26" s="1"/>
  <c r="H5" i="26"/>
  <c r="J4" i="26"/>
  <c r="K4" i="26" s="1"/>
  <c r="H4" i="26"/>
  <c r="K3" i="26"/>
  <c r="J3" i="26"/>
  <c r="H3" i="26"/>
  <c r="H24" i="26" s="1"/>
  <c r="AK45" i="24"/>
  <c r="AS44" i="24"/>
  <c r="AR44" i="24"/>
  <c r="AQ44" i="24"/>
  <c r="AP44" i="24"/>
  <c r="AO44" i="24"/>
  <c r="AN44" i="24"/>
  <c r="AM44" i="24"/>
  <c r="AL44" i="24"/>
  <c r="AJ44" i="24"/>
  <c r="AI44" i="24"/>
  <c r="AH44" i="24"/>
  <c r="AG44" i="24"/>
  <c r="AF44" i="24"/>
  <c r="AE44" i="24"/>
  <c r="AD44" i="24"/>
  <c r="AC44" i="24"/>
  <c r="AA44" i="24"/>
  <c r="Z44" i="24"/>
  <c r="Y44" i="24"/>
  <c r="X44" i="24"/>
  <c r="W44" i="24"/>
  <c r="V44" i="24"/>
  <c r="U44" i="24"/>
  <c r="T44" i="24"/>
  <c r="R44" i="24"/>
  <c r="Q44" i="24"/>
  <c r="P44" i="24"/>
  <c r="O44" i="24"/>
  <c r="N44" i="24"/>
  <c r="M44" i="24"/>
  <c r="L44" i="24"/>
  <c r="K44" i="24"/>
  <c r="H44" i="24"/>
  <c r="G44" i="24"/>
  <c r="F44" i="24"/>
  <c r="E44" i="24"/>
  <c r="I43" i="24"/>
  <c r="D43" i="24"/>
  <c r="C43" i="24"/>
  <c r="B43" i="24"/>
  <c r="I42" i="24"/>
  <c r="D42" i="24"/>
  <c r="C42" i="24"/>
  <c r="B42" i="24"/>
  <c r="I41" i="24"/>
  <c r="D41" i="24"/>
  <c r="C41" i="24"/>
  <c r="B41" i="24"/>
  <c r="I40" i="24"/>
  <c r="D40" i="24"/>
  <c r="C40" i="24"/>
  <c r="B40" i="24"/>
  <c r="I39" i="24"/>
  <c r="D39" i="24"/>
  <c r="C39" i="24"/>
  <c r="B39" i="24"/>
  <c r="I38" i="24"/>
  <c r="D38" i="24"/>
  <c r="C38" i="24"/>
  <c r="B38" i="24"/>
  <c r="I37" i="24"/>
  <c r="D37" i="24"/>
  <c r="C37" i="24"/>
  <c r="B37" i="24"/>
  <c r="I36" i="24"/>
  <c r="D36" i="24"/>
  <c r="C36" i="24"/>
  <c r="B36" i="24"/>
  <c r="I35" i="24"/>
  <c r="D35" i="24"/>
  <c r="C35" i="24"/>
  <c r="B35" i="24"/>
  <c r="I34" i="24"/>
  <c r="D34" i="24"/>
  <c r="C34" i="24"/>
  <c r="B34" i="24"/>
  <c r="I33" i="24"/>
  <c r="D33" i="24"/>
  <c r="C33" i="24"/>
  <c r="B33" i="24"/>
  <c r="I32" i="24"/>
  <c r="D32" i="24"/>
  <c r="C32" i="24"/>
  <c r="B32" i="24"/>
  <c r="I31" i="24"/>
  <c r="D31" i="24"/>
  <c r="C31" i="24"/>
  <c r="B31" i="24"/>
  <c r="I30" i="24"/>
  <c r="D30" i="24"/>
  <c r="C30" i="24"/>
  <c r="B30" i="24"/>
  <c r="I29" i="24"/>
  <c r="D29" i="24"/>
  <c r="C29" i="24"/>
  <c r="B29" i="24"/>
  <c r="I28" i="24"/>
  <c r="D28" i="24"/>
  <c r="C28" i="24"/>
  <c r="B28" i="24"/>
  <c r="I27" i="24"/>
  <c r="D27" i="24"/>
  <c r="C27" i="24"/>
  <c r="B27" i="24"/>
  <c r="I26" i="24"/>
  <c r="D26" i="24"/>
  <c r="C26" i="24"/>
  <c r="B26" i="24"/>
  <c r="I25" i="24"/>
  <c r="D25" i="24"/>
  <c r="C25" i="24"/>
  <c r="B25" i="24"/>
  <c r="I24" i="24"/>
  <c r="D24" i="24"/>
  <c r="C24" i="24"/>
  <c r="B24" i="24"/>
  <c r="I23" i="24"/>
  <c r="I44" i="24" s="1"/>
  <c r="D23" i="24"/>
  <c r="D44" i="24" s="1"/>
  <c r="C23" i="24"/>
  <c r="C44" i="24" s="1"/>
  <c r="B23" i="24"/>
  <c r="B44" i="24" s="1"/>
  <c r="AS16" i="24"/>
  <c r="AS45" i="24" s="1"/>
  <c r="AR16" i="24"/>
  <c r="AR45" i="24" s="1"/>
  <c r="AQ16" i="24"/>
  <c r="AQ45" i="24" s="1"/>
  <c r="AP16" i="24"/>
  <c r="AP45" i="24" s="1"/>
  <c r="AO16" i="24"/>
  <c r="AO45" i="24" s="1"/>
  <c r="AN16" i="24"/>
  <c r="AN45" i="24" s="1"/>
  <c r="AM16" i="24"/>
  <c r="AM45" i="24" s="1"/>
  <c r="AL16" i="24"/>
  <c r="AL45" i="24" s="1"/>
  <c r="AJ16" i="24"/>
  <c r="AJ45" i="24" s="1"/>
  <c r="AI16" i="24"/>
  <c r="AH16" i="24"/>
  <c r="AG16" i="24"/>
  <c r="AF16" i="24"/>
  <c r="AE16" i="24"/>
  <c r="AD16" i="24"/>
  <c r="AC16" i="24"/>
  <c r="AA16" i="24"/>
  <c r="Z16" i="24"/>
  <c r="Y16" i="24"/>
  <c r="X16" i="24"/>
  <c r="W16" i="24"/>
  <c r="V16" i="24"/>
  <c r="U16" i="24"/>
  <c r="T16" i="24"/>
  <c r="R16" i="24"/>
  <c r="Q16" i="24"/>
  <c r="P16" i="24"/>
  <c r="O16" i="24"/>
  <c r="N16" i="24"/>
  <c r="M16" i="24"/>
  <c r="L16" i="24"/>
  <c r="K16" i="24"/>
  <c r="H16" i="24"/>
  <c r="G16" i="24"/>
  <c r="F16" i="24"/>
  <c r="E16" i="24"/>
  <c r="I15" i="24"/>
  <c r="D15" i="24"/>
  <c r="C15" i="24"/>
  <c r="B15" i="24"/>
  <c r="I14" i="24"/>
  <c r="D14" i="24"/>
  <c r="C14" i="24"/>
  <c r="B14" i="24"/>
  <c r="I13" i="24"/>
  <c r="D13" i="24"/>
  <c r="C13" i="24"/>
  <c r="B13" i="24"/>
  <c r="I12" i="24"/>
  <c r="D12" i="24"/>
  <c r="C12" i="24"/>
  <c r="B12" i="24"/>
  <c r="I11" i="24"/>
  <c r="D11" i="24"/>
  <c r="C11" i="24"/>
  <c r="B11" i="24"/>
  <c r="BS10" i="24"/>
  <c r="BR10" i="24"/>
  <c r="BQ10" i="24"/>
  <c r="BP10" i="24"/>
  <c r="BO10" i="24"/>
  <c r="I10" i="24"/>
  <c r="D10" i="24"/>
  <c r="C10" i="24"/>
  <c r="B10" i="24"/>
  <c r="I9" i="24"/>
  <c r="D9" i="24"/>
  <c r="C9" i="24"/>
  <c r="B9" i="24"/>
  <c r="I8" i="24"/>
  <c r="D8" i="24"/>
  <c r="C8" i="24"/>
  <c r="B8" i="24"/>
  <c r="I7" i="24"/>
  <c r="D7" i="24"/>
  <c r="C7" i="24"/>
  <c r="B7" i="24"/>
  <c r="BS6" i="24"/>
  <c r="BR6" i="24"/>
  <c r="BQ6" i="24"/>
  <c r="BP6" i="24"/>
  <c r="BO6" i="24"/>
  <c r="I6" i="24"/>
  <c r="D6" i="24"/>
  <c r="C6" i="24"/>
  <c r="B6" i="24"/>
  <c r="I5" i="24"/>
  <c r="D5" i="24"/>
  <c r="C5" i="24"/>
  <c r="B5" i="24"/>
  <c r="I4" i="24"/>
  <c r="I16" i="24" s="1"/>
  <c r="D4" i="24"/>
  <c r="C4" i="24"/>
  <c r="B4" i="24"/>
  <c r="C37" i="22"/>
  <c r="B37" i="22"/>
  <c r="D37" i="22" s="1"/>
  <c r="E37" i="22" s="1"/>
  <c r="H36" i="22"/>
  <c r="I37" i="22" s="1"/>
  <c r="G36" i="22"/>
  <c r="C36" i="22"/>
  <c r="D36" i="22" s="1"/>
  <c r="E36" i="22" s="1"/>
  <c r="I34" i="22"/>
  <c r="E34" i="22"/>
  <c r="D34" i="22"/>
  <c r="I33" i="22"/>
  <c r="D33" i="22"/>
  <c r="E33" i="22" s="1"/>
  <c r="I32" i="22"/>
  <c r="D32" i="22"/>
  <c r="E32" i="22" s="1"/>
  <c r="I31" i="22"/>
  <c r="D31" i="22"/>
  <c r="E31" i="22" s="1"/>
  <c r="I30" i="22"/>
  <c r="D30" i="22"/>
  <c r="E30" i="22" s="1"/>
  <c r="I29" i="22"/>
  <c r="D29" i="22"/>
  <c r="E29" i="22" s="1"/>
  <c r="I28" i="22"/>
  <c r="E28" i="22"/>
  <c r="D28" i="22"/>
  <c r="I27" i="22"/>
  <c r="D27" i="22"/>
  <c r="E27" i="22" s="1"/>
  <c r="I26" i="22"/>
  <c r="E26" i="22"/>
  <c r="D26" i="22"/>
  <c r="I25" i="22"/>
  <c r="D25" i="22"/>
  <c r="E25" i="22" s="1"/>
  <c r="I24" i="22"/>
  <c r="D24" i="22"/>
  <c r="E24" i="22" s="1"/>
  <c r="I23" i="22"/>
  <c r="D23" i="22"/>
  <c r="E23" i="22" s="1"/>
  <c r="Y25" i="21"/>
  <c r="Y24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B22" i="21"/>
  <c r="C21" i="21"/>
  <c r="Y20" i="21"/>
  <c r="Y19" i="21"/>
  <c r="Y18" i="21"/>
  <c r="Y17" i="21"/>
  <c r="Y16" i="21"/>
  <c r="X15" i="21"/>
  <c r="W15" i="21"/>
  <c r="V15" i="21"/>
  <c r="U15" i="21"/>
  <c r="T15" i="21"/>
  <c r="S15" i="21"/>
  <c r="R15" i="21"/>
  <c r="R23" i="21" s="1"/>
  <c r="R26" i="21" s="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Y14" i="21"/>
  <c r="Y13" i="21"/>
  <c r="Y12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Y10" i="21"/>
  <c r="Y9" i="21"/>
  <c r="Y8" i="21"/>
  <c r="Y7" i="21"/>
  <c r="X6" i="21"/>
  <c r="W6" i="21"/>
  <c r="V6" i="21"/>
  <c r="U6" i="21"/>
  <c r="U23" i="21" s="1"/>
  <c r="U26" i="21" s="1"/>
  <c r="T6" i="21"/>
  <c r="S6" i="21"/>
  <c r="S23" i="21" s="1"/>
  <c r="S26" i="21" s="1"/>
  <c r="R6" i="21"/>
  <c r="Q6" i="21"/>
  <c r="Q23" i="21" s="1"/>
  <c r="Q26" i="21" s="1"/>
  <c r="P6" i="21"/>
  <c r="O6" i="21"/>
  <c r="O23" i="21" s="1"/>
  <c r="O26" i="21" s="1"/>
  <c r="N6" i="21"/>
  <c r="M6" i="21"/>
  <c r="M23" i="21" s="1"/>
  <c r="M26" i="21" s="1"/>
  <c r="L6" i="21"/>
  <c r="K6" i="21"/>
  <c r="K23" i="21" s="1"/>
  <c r="K26" i="21" s="1"/>
  <c r="J6" i="21"/>
  <c r="J23" i="21" s="1"/>
  <c r="J26" i="21" s="1"/>
  <c r="I6" i="21"/>
  <c r="I23" i="21" s="1"/>
  <c r="I26" i="21" s="1"/>
  <c r="H6" i="21"/>
  <c r="G6" i="21"/>
  <c r="G23" i="21" s="1"/>
  <c r="G26" i="21" s="1"/>
  <c r="F6" i="21"/>
  <c r="E6" i="21"/>
  <c r="E23" i="21" s="1"/>
  <c r="E26" i="21" s="1"/>
  <c r="D6" i="21"/>
  <c r="C6" i="21"/>
  <c r="B6" i="21"/>
  <c r="Y5" i="21"/>
  <c r="Y4" i="21"/>
  <c r="Y3" i="21"/>
  <c r="N25" i="20"/>
  <c r="O25" i="20" s="1"/>
  <c r="N24" i="20"/>
  <c r="O24" i="20" s="1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O20" i="20"/>
  <c r="N20" i="20"/>
  <c r="O19" i="20"/>
  <c r="N19" i="20"/>
  <c r="O18" i="20"/>
  <c r="N18" i="20"/>
  <c r="O17" i="20"/>
  <c r="N17" i="20"/>
  <c r="O16" i="20"/>
  <c r="N16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O14" i="20"/>
  <c r="N14" i="20"/>
  <c r="O13" i="20"/>
  <c r="N13" i="20"/>
  <c r="O12" i="20"/>
  <c r="N12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O10" i="20"/>
  <c r="N10" i="20"/>
  <c r="O9" i="20"/>
  <c r="N9" i="20"/>
  <c r="O8" i="20"/>
  <c r="N8" i="20"/>
  <c r="O7" i="20"/>
  <c r="N7" i="20"/>
  <c r="M6" i="20"/>
  <c r="M23" i="20" s="1"/>
  <c r="M26" i="20" s="1"/>
  <c r="L6" i="20"/>
  <c r="K6" i="20"/>
  <c r="J6" i="20"/>
  <c r="I6" i="20"/>
  <c r="I23" i="20" s="1"/>
  <c r="I26" i="20" s="1"/>
  <c r="G6" i="20"/>
  <c r="F6" i="20"/>
  <c r="F23" i="20" s="1"/>
  <c r="F26" i="20" s="1"/>
  <c r="E6" i="20"/>
  <c r="D6" i="20"/>
  <c r="D23" i="20" s="1"/>
  <c r="D26" i="20" s="1"/>
  <c r="C6" i="20"/>
  <c r="B6" i="20"/>
  <c r="B23" i="20" s="1"/>
  <c r="H5" i="20"/>
  <c r="N4" i="20"/>
  <c r="O4" i="20" s="1"/>
  <c r="N3" i="20"/>
  <c r="C45" i="19"/>
  <c r="B45" i="19"/>
  <c r="E44" i="19"/>
  <c r="D44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C24" i="19"/>
  <c r="D24" i="19" s="1"/>
  <c r="D23" i="19"/>
  <c r="E23" i="19" s="1"/>
  <c r="D22" i="19"/>
  <c r="E22" i="19" s="1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Y15" i="18"/>
  <c r="Y14" i="18"/>
  <c r="Y13" i="18"/>
  <c r="Y12" i="18"/>
  <c r="Y11" i="18"/>
  <c r="Y10" i="18"/>
  <c r="AA10" i="18" s="1"/>
  <c r="D9" i="18"/>
  <c r="Y9" i="18" s="1"/>
  <c r="Y8" i="18"/>
  <c r="Y7" i="18"/>
  <c r="AA7" i="18" s="1"/>
  <c r="Y6" i="18"/>
  <c r="Y5" i="18"/>
  <c r="Y4" i="18"/>
  <c r="G16" i="16"/>
  <c r="F16" i="16"/>
  <c r="F11" i="16"/>
  <c r="E11" i="16"/>
  <c r="D11" i="16"/>
  <c r="C11" i="16"/>
  <c r="B11" i="16"/>
  <c r="I10" i="16"/>
  <c r="W26" i="15"/>
  <c r="Y25" i="15"/>
  <c r="Y24" i="15"/>
  <c r="G10" i="16" s="1"/>
  <c r="X22" i="15"/>
  <c r="X23" i="15" s="1"/>
  <c r="X26" i="15" s="1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Y21" i="15"/>
  <c r="Y20" i="15"/>
  <c r="Y19" i="15"/>
  <c r="Y18" i="15"/>
  <c r="Y17" i="15"/>
  <c r="Y16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Y15" i="15" s="1"/>
  <c r="G8" i="16" s="1"/>
  <c r="Y14" i="15"/>
  <c r="Y13" i="15"/>
  <c r="Y12" i="15"/>
  <c r="G7" i="16" s="1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Y10" i="15"/>
  <c r="Y9" i="15"/>
  <c r="Y8" i="15"/>
  <c r="Y7" i="15"/>
  <c r="V6" i="15"/>
  <c r="V23" i="15" s="1"/>
  <c r="V26" i="15" s="1"/>
  <c r="U6" i="15"/>
  <c r="U23" i="15" s="1"/>
  <c r="U26" i="15" s="1"/>
  <c r="T6" i="15"/>
  <c r="T23" i="15" s="1"/>
  <c r="T26" i="15" s="1"/>
  <c r="S6" i="15"/>
  <c r="S23" i="15" s="1"/>
  <c r="S26" i="15" s="1"/>
  <c r="R6" i="15"/>
  <c r="R23" i="15" s="1"/>
  <c r="R26" i="15" s="1"/>
  <c r="Q6" i="15"/>
  <c r="Q23" i="15" s="1"/>
  <c r="Q26" i="15" s="1"/>
  <c r="P6" i="15"/>
  <c r="P23" i="15" s="1"/>
  <c r="P26" i="15" s="1"/>
  <c r="O6" i="15"/>
  <c r="O23" i="15" s="1"/>
  <c r="O26" i="15" s="1"/>
  <c r="N6" i="15"/>
  <c r="N23" i="15" s="1"/>
  <c r="N26" i="15" s="1"/>
  <c r="M6" i="15"/>
  <c r="M23" i="15" s="1"/>
  <c r="M26" i="15" s="1"/>
  <c r="L6" i="15"/>
  <c r="L23" i="15" s="1"/>
  <c r="L26" i="15" s="1"/>
  <c r="K6" i="15"/>
  <c r="K23" i="15" s="1"/>
  <c r="K26" i="15" s="1"/>
  <c r="J6" i="15"/>
  <c r="J23" i="15" s="1"/>
  <c r="J26" i="15" s="1"/>
  <c r="I6" i="15"/>
  <c r="I23" i="15" s="1"/>
  <c r="I26" i="15" s="1"/>
  <c r="H6" i="15"/>
  <c r="H23" i="15" s="1"/>
  <c r="H26" i="15" s="1"/>
  <c r="G6" i="15"/>
  <c r="G23" i="15" s="1"/>
  <c r="G26" i="15" s="1"/>
  <c r="F6" i="15"/>
  <c r="F23" i="15" s="1"/>
  <c r="F26" i="15" s="1"/>
  <c r="E6" i="15"/>
  <c r="E23" i="15" s="1"/>
  <c r="E26" i="15" s="1"/>
  <c r="D6" i="15"/>
  <c r="D23" i="15" s="1"/>
  <c r="D26" i="15" s="1"/>
  <c r="C6" i="15"/>
  <c r="C23" i="15" s="1"/>
  <c r="C26" i="15" s="1"/>
  <c r="B6" i="15"/>
  <c r="Y5" i="15"/>
  <c r="Y4" i="15"/>
  <c r="Y3" i="15"/>
  <c r="G4" i="16" s="1"/>
  <c r="N25" i="14"/>
  <c r="N24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N21" i="14"/>
  <c r="N20" i="14"/>
  <c r="N19" i="14"/>
  <c r="N18" i="14"/>
  <c r="N17" i="14"/>
  <c r="N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4" i="14"/>
  <c r="N13" i="14"/>
  <c r="N12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N10" i="14"/>
  <c r="N9" i="14"/>
  <c r="N8" i="14"/>
  <c r="N7" i="14"/>
  <c r="M6" i="14"/>
  <c r="L6" i="14"/>
  <c r="L23" i="14" s="1"/>
  <c r="L26" i="14" s="1"/>
  <c r="L30" i="14" s="1"/>
  <c r="K6" i="14"/>
  <c r="J6" i="14"/>
  <c r="J23" i="14" s="1"/>
  <c r="J26" i="14" s="1"/>
  <c r="J30" i="14" s="1"/>
  <c r="I6" i="14"/>
  <c r="H6" i="14"/>
  <c r="H23" i="14" s="1"/>
  <c r="H26" i="14" s="1"/>
  <c r="H30" i="14" s="1"/>
  <c r="G6" i="14"/>
  <c r="F6" i="14"/>
  <c r="F23" i="14" s="1"/>
  <c r="F26" i="14" s="1"/>
  <c r="F30" i="14" s="1"/>
  <c r="E6" i="14"/>
  <c r="D6" i="14"/>
  <c r="D23" i="14" s="1"/>
  <c r="D26" i="14" s="1"/>
  <c r="D30" i="14" s="1"/>
  <c r="C6" i="14"/>
  <c r="B6" i="14"/>
  <c r="B23" i="14" s="1"/>
  <c r="N5" i="14"/>
  <c r="N4" i="14"/>
  <c r="N3" i="14"/>
  <c r="D45" i="13"/>
  <c r="E45" i="13" s="1"/>
  <c r="C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AD18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Y14" i="12"/>
  <c r="Y13" i="12"/>
  <c r="Y12" i="12"/>
  <c r="Y11" i="12"/>
  <c r="Y10" i="12"/>
  <c r="Y9" i="12"/>
  <c r="Y8" i="12"/>
  <c r="Y7" i="12"/>
  <c r="Y6" i="12"/>
  <c r="Y5" i="12"/>
  <c r="Y4" i="12"/>
  <c r="Y3" i="12"/>
  <c r="C44" i="11"/>
  <c r="D44" i="11" s="1"/>
  <c r="E44" i="11" s="1"/>
  <c r="D43" i="11"/>
  <c r="E43" i="11" s="1"/>
  <c r="D42" i="11"/>
  <c r="E42" i="11" s="1"/>
  <c r="D41" i="11"/>
  <c r="E41" i="11" s="1"/>
  <c r="D40" i="11"/>
  <c r="E40" i="11" s="1"/>
  <c r="D39" i="11"/>
  <c r="E39" i="11" s="1"/>
  <c r="D38" i="11"/>
  <c r="E38" i="11" s="1"/>
  <c r="D37" i="11"/>
  <c r="E37" i="11" s="1"/>
  <c r="D36" i="11"/>
  <c r="E36" i="11" s="1"/>
  <c r="D35" i="11"/>
  <c r="E35" i="11" s="1"/>
  <c r="D34" i="11"/>
  <c r="E34" i="11" s="1"/>
  <c r="D33" i="11"/>
  <c r="E33" i="11" s="1"/>
  <c r="D32" i="11"/>
  <c r="E32" i="11" s="1"/>
  <c r="D31" i="11"/>
  <c r="E31" i="11" s="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T55" i="10"/>
  <c r="S55" i="10"/>
  <c r="S47" i="10"/>
  <c r="S39" i="10"/>
  <c r="R39" i="10"/>
  <c r="AB36" i="10"/>
  <c r="AA36" i="10"/>
  <c r="R36" i="10"/>
  <c r="Q36" i="10"/>
  <c r="H36" i="10"/>
  <c r="G36" i="10"/>
  <c r="AD35" i="10"/>
  <c r="AC35" i="10"/>
  <c r="T35" i="10"/>
  <c r="S35" i="10"/>
  <c r="J35" i="10"/>
  <c r="I35" i="10"/>
  <c r="AD34" i="10"/>
  <c r="W34" i="10"/>
  <c r="Y34" i="10" s="1"/>
  <c r="T34" i="10"/>
  <c r="S34" i="10"/>
  <c r="M34" i="10"/>
  <c r="L34" i="10"/>
  <c r="J34" i="10"/>
  <c r="I34" i="10"/>
  <c r="C34" i="10"/>
  <c r="B34" i="10"/>
  <c r="AD33" i="10"/>
  <c r="AC33" i="10"/>
  <c r="Y33" i="10"/>
  <c r="X33" i="10"/>
  <c r="T33" i="10"/>
  <c r="S33" i="10"/>
  <c r="O33" i="10"/>
  <c r="N33" i="10"/>
  <c r="J33" i="10"/>
  <c r="I33" i="10"/>
  <c r="E33" i="10"/>
  <c r="D33" i="10"/>
  <c r="AD32" i="10"/>
  <c r="AC32" i="10"/>
  <c r="Y32" i="10"/>
  <c r="X32" i="10"/>
  <c r="T32" i="10"/>
  <c r="S32" i="10"/>
  <c r="O32" i="10"/>
  <c r="N32" i="10"/>
  <c r="J32" i="10"/>
  <c r="I32" i="10"/>
  <c r="E32" i="10"/>
  <c r="D32" i="10"/>
  <c r="AD31" i="10"/>
  <c r="AC31" i="10"/>
  <c r="Y31" i="10"/>
  <c r="X31" i="10"/>
  <c r="T31" i="10"/>
  <c r="S31" i="10"/>
  <c r="O31" i="10"/>
  <c r="N31" i="10"/>
  <c r="J31" i="10"/>
  <c r="I31" i="10"/>
  <c r="E31" i="10"/>
  <c r="D31" i="10"/>
  <c r="AH30" i="10"/>
  <c r="AD30" i="10"/>
  <c r="AC30" i="10"/>
  <c r="Y30" i="10"/>
  <c r="X30" i="10"/>
  <c r="T30" i="10"/>
  <c r="S30" i="10"/>
  <c r="O30" i="10"/>
  <c r="N30" i="10"/>
  <c r="J30" i="10"/>
  <c r="I30" i="10"/>
  <c r="E30" i="10"/>
  <c r="D30" i="10"/>
  <c r="AD29" i="10"/>
  <c r="AC29" i="10"/>
  <c r="Y29" i="10"/>
  <c r="X29" i="10"/>
  <c r="T29" i="10"/>
  <c r="S29" i="10"/>
  <c r="O29" i="10"/>
  <c r="N29" i="10"/>
  <c r="J29" i="10"/>
  <c r="I29" i="10"/>
  <c r="E29" i="10"/>
  <c r="D29" i="10"/>
  <c r="AH28" i="10"/>
  <c r="AD28" i="10"/>
  <c r="AC28" i="10"/>
  <c r="Y28" i="10"/>
  <c r="X28" i="10"/>
  <c r="T28" i="10"/>
  <c r="S28" i="10"/>
  <c r="O28" i="10"/>
  <c r="N28" i="10"/>
  <c r="J28" i="10"/>
  <c r="I28" i="10"/>
  <c r="E28" i="10"/>
  <c r="D28" i="10"/>
  <c r="AD27" i="10"/>
  <c r="AC27" i="10"/>
  <c r="Y27" i="10"/>
  <c r="X27" i="10"/>
  <c r="T27" i="10"/>
  <c r="S27" i="10"/>
  <c r="O27" i="10"/>
  <c r="N27" i="10"/>
  <c r="J27" i="10"/>
  <c r="I27" i="10"/>
  <c r="E27" i="10"/>
  <c r="D27" i="10"/>
  <c r="AD26" i="10"/>
  <c r="AC26" i="10"/>
  <c r="Y26" i="10"/>
  <c r="X26" i="10"/>
  <c r="T26" i="10"/>
  <c r="S26" i="10"/>
  <c r="O26" i="10"/>
  <c r="N26" i="10"/>
  <c r="J26" i="10"/>
  <c r="I26" i="10"/>
  <c r="E26" i="10"/>
  <c r="D26" i="10"/>
  <c r="AD25" i="10"/>
  <c r="AC25" i="10"/>
  <c r="Y25" i="10"/>
  <c r="X25" i="10"/>
  <c r="T25" i="10"/>
  <c r="S25" i="10"/>
  <c r="O25" i="10"/>
  <c r="N25" i="10"/>
  <c r="J25" i="10"/>
  <c r="I25" i="10"/>
  <c r="E25" i="10"/>
  <c r="D25" i="10"/>
  <c r="AL15" i="10"/>
  <c r="O29" i="9"/>
  <c r="O28" i="9"/>
  <c r="O27" i="9"/>
  <c r="O26" i="9"/>
  <c r="O25" i="9"/>
  <c r="O24" i="9"/>
  <c r="O23" i="9"/>
  <c r="O22" i="9"/>
  <c r="O21" i="9"/>
  <c r="O20" i="9"/>
  <c r="O19" i="9"/>
  <c r="L14" i="9"/>
  <c r="L13" i="9"/>
  <c r="L12" i="9"/>
  <c r="L11" i="9"/>
  <c r="L10" i="9"/>
  <c r="L9" i="9"/>
  <c r="L8" i="9"/>
  <c r="L7" i="9"/>
  <c r="L6" i="9"/>
  <c r="L5" i="9"/>
  <c r="L4" i="9"/>
  <c r="G50" i="8"/>
  <c r="F50" i="8"/>
  <c r="D50" i="8"/>
  <c r="C50" i="8"/>
  <c r="H49" i="8"/>
  <c r="E49" i="8"/>
  <c r="I49" i="8" s="1"/>
  <c r="H48" i="8"/>
  <c r="H50" i="8" s="1"/>
  <c r="E48" i="8"/>
  <c r="H47" i="8"/>
  <c r="E47" i="8"/>
  <c r="I47" i="8" s="1"/>
  <c r="G45" i="8"/>
  <c r="F45" i="8"/>
  <c r="D45" i="8"/>
  <c r="C45" i="8"/>
  <c r="H44" i="8"/>
  <c r="E44" i="8"/>
  <c r="I44" i="8" s="1"/>
  <c r="H43" i="8"/>
  <c r="H45" i="8" s="1"/>
  <c r="E43" i="8"/>
  <c r="H42" i="8"/>
  <c r="E42" i="8"/>
  <c r="I42" i="8" s="1"/>
  <c r="D40" i="8"/>
  <c r="C40" i="8"/>
  <c r="G39" i="8"/>
  <c r="F39" i="8"/>
  <c r="H39" i="8" s="1"/>
  <c r="E39" i="8"/>
  <c r="G38" i="8"/>
  <c r="G40" i="8" s="1"/>
  <c r="F38" i="8"/>
  <c r="E38" i="8"/>
  <c r="E40" i="8" s="1"/>
  <c r="G37" i="8"/>
  <c r="F37" i="8"/>
  <c r="H37" i="8" s="1"/>
  <c r="I37" i="8" s="1"/>
  <c r="E37" i="8"/>
  <c r="H36" i="8"/>
  <c r="E36" i="8"/>
  <c r="H35" i="8"/>
  <c r="I35" i="8" s="1"/>
  <c r="E35" i="8"/>
  <c r="H34" i="8"/>
  <c r="E34" i="8"/>
  <c r="H33" i="8"/>
  <c r="I33" i="8" s="1"/>
  <c r="E33" i="8"/>
  <c r="H32" i="8"/>
  <c r="E32" i="8"/>
  <c r="O31" i="8"/>
  <c r="H31" i="8"/>
  <c r="E31" i="8"/>
  <c r="I31" i="8" s="1"/>
  <c r="H30" i="8"/>
  <c r="E30" i="8"/>
  <c r="H29" i="8"/>
  <c r="E29" i="8"/>
  <c r="I29" i="8" s="1"/>
  <c r="H28" i="8"/>
  <c r="E28" i="8"/>
  <c r="H27" i="8"/>
  <c r="E27" i="8"/>
  <c r="I27" i="8" s="1"/>
  <c r="H26" i="8"/>
  <c r="E26" i="8"/>
  <c r="H25" i="8"/>
  <c r="E25" i="8"/>
  <c r="I25" i="8" s="1"/>
  <c r="H24" i="8"/>
  <c r="E24" i="8"/>
  <c r="H23" i="8"/>
  <c r="E23" i="8"/>
  <c r="I23" i="8" s="1"/>
  <c r="H22" i="8"/>
  <c r="E22" i="8"/>
  <c r="H21" i="8"/>
  <c r="E21" i="8"/>
  <c r="I21" i="8" s="1"/>
  <c r="H20" i="8"/>
  <c r="E20" i="8"/>
  <c r="H19" i="8"/>
  <c r="E19" i="8"/>
  <c r="I19" i="8" s="1"/>
  <c r="H18" i="8"/>
  <c r="E18" i="8"/>
  <c r="H17" i="8"/>
  <c r="E17" i="8"/>
  <c r="I17" i="8" s="1"/>
  <c r="H16" i="8"/>
  <c r="E16" i="8"/>
  <c r="H15" i="8"/>
  <c r="E15" i="8"/>
  <c r="I15" i="8" s="1"/>
  <c r="H14" i="8"/>
  <c r="E14" i="8"/>
  <c r="H13" i="8"/>
  <c r="J13" i="8" s="1"/>
  <c r="E13" i="8"/>
  <c r="H12" i="8"/>
  <c r="E12" i="8"/>
  <c r="I12" i="8" s="1"/>
  <c r="H11" i="8"/>
  <c r="E11" i="8"/>
  <c r="H10" i="8"/>
  <c r="E10" i="8"/>
  <c r="I10" i="8" s="1"/>
  <c r="H9" i="8"/>
  <c r="E9" i="8"/>
  <c r="H8" i="8"/>
  <c r="E8" i="8"/>
  <c r="I8" i="8" s="1"/>
  <c r="H7" i="8"/>
  <c r="E7" i="8"/>
  <c r="H6" i="8"/>
  <c r="E6" i="8"/>
  <c r="I6" i="8" s="1"/>
  <c r="H5" i="8"/>
  <c r="E5" i="8"/>
  <c r="H4" i="8"/>
  <c r="E4" i="8"/>
  <c r="I4" i="8" s="1"/>
  <c r="D12" i="7"/>
  <c r="D17" i="7" s="1"/>
  <c r="C12" i="7"/>
  <c r="E11" i="7"/>
  <c r="E10" i="7"/>
  <c r="D9" i="7"/>
  <c r="C9" i="7"/>
  <c r="C13" i="7" s="1"/>
  <c r="E8" i="7"/>
  <c r="E7" i="7"/>
  <c r="D6" i="7"/>
  <c r="C6" i="7"/>
  <c r="E5" i="7"/>
  <c r="E4" i="7"/>
  <c r="F300" i="6"/>
  <c r="E300" i="6"/>
  <c r="D300" i="6"/>
  <c r="J284" i="6"/>
  <c r="J143" i="6" s="1"/>
  <c r="J283" i="6"/>
  <c r="I265" i="6"/>
  <c r="I264" i="6"/>
  <c r="I263" i="6"/>
  <c r="I262" i="6"/>
  <c r="J257" i="6"/>
  <c r="J256" i="6"/>
  <c r="J255" i="6"/>
  <c r="J254" i="6"/>
  <c r="J253" i="6"/>
  <c r="J252" i="6"/>
  <c r="J251" i="6"/>
  <c r="J250" i="6"/>
  <c r="J249" i="6"/>
  <c r="F223" i="6"/>
  <c r="E223" i="6"/>
  <c r="D223" i="6"/>
  <c r="J190" i="6"/>
  <c r="J189" i="6"/>
  <c r="I189" i="6"/>
  <c r="J188" i="6"/>
  <c r="J187" i="6"/>
  <c r="J186" i="6"/>
  <c r="J185" i="6"/>
  <c r="J184" i="6"/>
  <c r="J183" i="6"/>
  <c r="F148" i="6"/>
  <c r="E148" i="6"/>
  <c r="D148" i="6"/>
  <c r="F144" i="6"/>
  <c r="E144" i="6"/>
  <c r="D144" i="6"/>
  <c r="J142" i="6"/>
  <c r="F141" i="6"/>
  <c r="E141" i="6"/>
  <c r="D141" i="6"/>
  <c r="F121" i="6"/>
  <c r="E121" i="6"/>
  <c r="D121" i="6"/>
  <c r="F113" i="6"/>
  <c r="E113" i="6"/>
  <c r="D113" i="6"/>
  <c r="K93" i="6"/>
  <c r="J86" i="6"/>
  <c r="J85" i="6"/>
  <c r="J83" i="6"/>
  <c r="J82" i="6"/>
  <c r="F77" i="6"/>
  <c r="E77" i="6"/>
  <c r="D77" i="6"/>
  <c r="F62" i="6"/>
  <c r="E62" i="6"/>
  <c r="D62" i="6"/>
  <c r="F27" i="6"/>
  <c r="E27" i="6"/>
  <c r="D27" i="6"/>
  <c r="AG14" i="4"/>
  <c r="AA14" i="4"/>
  <c r="AG13" i="4"/>
  <c r="V15" i="4"/>
  <c r="T15" i="4"/>
  <c r="R15" i="4"/>
  <c r="P15" i="4"/>
  <c r="N15" i="4"/>
  <c r="L15" i="4"/>
  <c r="J15" i="4"/>
  <c r="H15" i="4"/>
  <c r="AG12" i="4"/>
  <c r="W15" i="4"/>
  <c r="U15" i="4"/>
  <c r="S15" i="4"/>
  <c r="Q15" i="4"/>
  <c r="O15" i="4"/>
  <c r="M15" i="4"/>
  <c r="K15" i="4"/>
  <c r="I15" i="4"/>
  <c r="F15" i="4"/>
  <c r="E15" i="4"/>
  <c r="D15" i="4"/>
  <c r="AG11" i="4"/>
  <c r="AA11" i="4"/>
  <c r="AG10" i="4"/>
  <c r="AA10" i="4"/>
  <c r="AG9" i="4"/>
  <c r="AA9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G8" i="4"/>
  <c r="Z8" i="4"/>
  <c r="Y8" i="4"/>
  <c r="AG7" i="4"/>
  <c r="Z7" i="4"/>
  <c r="Y7" i="4"/>
  <c r="AG6" i="4"/>
  <c r="AG5" i="4"/>
  <c r="AG4" i="4"/>
  <c r="AB4" i="4"/>
  <c r="AB5" i="4" s="1"/>
  <c r="AG3" i="4"/>
  <c r="AA3" i="4"/>
  <c r="AG2" i="4"/>
  <c r="O19" i="3"/>
  <c r="N19" i="3"/>
  <c r="M19" i="3"/>
  <c r="L19" i="3"/>
  <c r="K19" i="3"/>
  <c r="J19" i="3"/>
  <c r="I19" i="3"/>
  <c r="H19" i="3"/>
  <c r="G19" i="3"/>
  <c r="F19" i="3"/>
  <c r="E19" i="3"/>
  <c r="D19" i="3"/>
  <c r="P15" i="3"/>
  <c r="P14" i="3"/>
  <c r="O13" i="3"/>
  <c r="N13" i="3"/>
  <c r="M13" i="3"/>
  <c r="L13" i="3"/>
  <c r="K13" i="3"/>
  <c r="J13" i="3"/>
  <c r="I13" i="3"/>
  <c r="H13" i="3"/>
  <c r="G13" i="3"/>
  <c r="F13" i="3"/>
  <c r="E13" i="3"/>
  <c r="D13" i="3"/>
  <c r="O12" i="3"/>
  <c r="N12" i="3"/>
  <c r="M12" i="3"/>
  <c r="L12" i="3"/>
  <c r="K12" i="3"/>
  <c r="J12" i="3"/>
  <c r="I12" i="3"/>
  <c r="H12" i="3"/>
  <c r="G12" i="3"/>
  <c r="F12" i="3"/>
  <c r="E12" i="3"/>
  <c r="D12" i="3"/>
  <c r="S11" i="3"/>
  <c r="S12" i="3" s="1"/>
  <c r="P11" i="3"/>
  <c r="P10" i="3"/>
  <c r="S5" i="3"/>
  <c r="R5" i="3"/>
  <c r="Q4" i="3"/>
  <c r="J90" i="6" l="1"/>
  <c r="F301" i="6"/>
  <c r="K256" i="6"/>
  <c r="I14" i="8"/>
  <c r="I16" i="8"/>
  <c r="I18" i="8"/>
  <c r="I20" i="8"/>
  <c r="I22" i="8"/>
  <c r="I24" i="8"/>
  <c r="I26" i="8"/>
  <c r="I28" i="8"/>
  <c r="I30" i="8"/>
  <c r="I32" i="8"/>
  <c r="I34" i="8"/>
  <c r="I36" i="8"/>
  <c r="J36" i="10"/>
  <c r="AD36" i="10"/>
  <c r="E23" i="14"/>
  <c r="E26" i="14" s="1"/>
  <c r="E30" i="14" s="1"/>
  <c r="I23" i="14"/>
  <c r="I26" i="14" s="1"/>
  <c r="I30" i="14" s="1"/>
  <c r="M23" i="14"/>
  <c r="M26" i="14" s="1"/>
  <c r="M30" i="14" s="1"/>
  <c r="N22" i="14"/>
  <c r="E23" i="20"/>
  <c r="E26" i="20" s="1"/>
  <c r="J23" i="20"/>
  <c r="J26" i="20" s="1"/>
  <c r="Y6" i="21"/>
  <c r="C16" i="24"/>
  <c r="H47" i="24"/>
  <c r="J191" i="6"/>
  <c r="E301" i="6"/>
  <c r="N11" i="14"/>
  <c r="K23" i="20"/>
  <c r="K26" i="20" s="1"/>
  <c r="D301" i="6"/>
  <c r="E6" i="7"/>
  <c r="I5" i="8"/>
  <c r="I7" i="8"/>
  <c r="I9" i="8"/>
  <c r="I11" i="8"/>
  <c r="H38" i="8"/>
  <c r="I38" i="8" s="1"/>
  <c r="T36" i="10"/>
  <c r="C23" i="14"/>
  <c r="C26" i="14" s="1"/>
  <c r="C30" i="14" s="1"/>
  <c r="G23" i="14"/>
  <c r="G26" i="14" s="1"/>
  <c r="G30" i="14" s="1"/>
  <c r="K23" i="14"/>
  <c r="K26" i="14" s="1"/>
  <c r="K30" i="14" s="1"/>
  <c r="P24" i="14"/>
  <c r="Y11" i="15"/>
  <c r="G6" i="16" s="1"/>
  <c r="Y22" i="15"/>
  <c r="G9" i="16" s="1"/>
  <c r="O3" i="20"/>
  <c r="C23" i="20"/>
  <c r="C26" i="20" s="1"/>
  <c r="G23" i="20"/>
  <c r="G26" i="20" s="1"/>
  <c r="L23" i="20"/>
  <c r="L26" i="20" s="1"/>
  <c r="N15" i="20"/>
  <c r="D23" i="21"/>
  <c r="D26" i="21" s="1"/>
  <c r="H23" i="21"/>
  <c r="H26" i="21" s="1"/>
  <c r="L23" i="21"/>
  <c r="L26" i="21" s="1"/>
  <c r="P23" i="21"/>
  <c r="P26" i="21" s="1"/>
  <c r="T23" i="21"/>
  <c r="T26" i="21" s="1"/>
  <c r="Y15" i="21"/>
  <c r="F47" i="24"/>
  <c r="E34" i="10"/>
  <c r="O34" i="10"/>
  <c r="X34" i="10"/>
  <c r="Y15" i="12"/>
  <c r="Y18" i="12" s="1"/>
  <c r="Y11" i="21"/>
  <c r="F23" i="21"/>
  <c r="F26" i="21" s="1"/>
  <c r="N23" i="21"/>
  <c r="N26" i="21" s="1"/>
  <c r="V23" i="21"/>
  <c r="V26" i="21" s="1"/>
  <c r="AA8" i="4"/>
  <c r="AA7" i="4"/>
  <c r="P12" i="3"/>
  <c r="P13" i="3"/>
  <c r="P19" i="3"/>
  <c r="G15" i="4"/>
  <c r="AA16" i="4" s="1"/>
  <c r="K40" i="8"/>
  <c r="H40" i="8"/>
  <c r="I40" i="8" s="1"/>
  <c r="I39" i="8"/>
  <c r="S6" i="3"/>
  <c r="AA15" i="4"/>
  <c r="E12" i="7"/>
  <c r="D13" i="7"/>
  <c r="E13" i="7" s="1"/>
  <c r="I13" i="8"/>
  <c r="F40" i="8"/>
  <c r="I43" i="8"/>
  <c r="E45" i="8"/>
  <c r="I45" i="8" s="1"/>
  <c r="I48" i="8"/>
  <c r="E50" i="8"/>
  <c r="I50" i="8" s="1"/>
  <c r="D34" i="10"/>
  <c r="N34" i="10"/>
  <c r="I36" i="10"/>
  <c r="S36" i="10"/>
  <c r="AC36" i="10"/>
  <c r="B26" i="14"/>
  <c r="N23" i="14"/>
  <c r="N6" i="14"/>
  <c r="P7" i="14" s="1"/>
  <c r="N15" i="14"/>
  <c r="B23" i="21"/>
  <c r="E9" i="7"/>
  <c r="B23" i="15"/>
  <c r="Y6" i="15"/>
  <c r="G5" i="16" s="1"/>
  <c r="G11" i="16" s="1"/>
  <c r="D45" i="19"/>
  <c r="Y16" i="18"/>
  <c r="AA13" i="18"/>
  <c r="H6" i="20"/>
  <c r="H23" i="20" s="1"/>
  <c r="H26" i="20" s="1"/>
  <c r="N5" i="20"/>
  <c r="O5" i="20" s="1"/>
  <c r="B26" i="20"/>
  <c r="N11" i="20"/>
  <c r="O11" i="20" s="1"/>
  <c r="N22" i="20"/>
  <c r="C22" i="21"/>
  <c r="Y22" i="21" s="1"/>
  <c r="Y21" i="21"/>
  <c r="O21" i="20" s="1"/>
  <c r="X23" i="21"/>
  <c r="X26" i="21" s="1"/>
  <c r="I36" i="22"/>
  <c r="E47" i="24"/>
  <c r="G47" i="24"/>
  <c r="B16" i="24"/>
  <c r="D16" i="24"/>
  <c r="AA5" i="18"/>
  <c r="W23" i="21"/>
  <c r="W26" i="21" s="1"/>
  <c r="N26" i="20" l="1"/>
  <c r="N6" i="20"/>
  <c r="O6" i="20" s="1"/>
  <c r="O15" i="20"/>
  <c r="C23" i="21"/>
  <c r="C26" i="21" s="1"/>
  <c r="Y23" i="15"/>
  <c r="B26" i="15"/>
  <c r="Y26" i="15" s="1"/>
  <c r="B26" i="21"/>
  <c r="N26" i="14"/>
  <c r="N30" i="14" s="1"/>
  <c r="B30" i="14"/>
  <c r="O22" i="20"/>
  <c r="N23" i="20"/>
  <c r="E45" i="19"/>
  <c r="Y23" i="21" l="1"/>
  <c r="O23" i="20"/>
  <c r="Y26" i="21"/>
  <c r="O26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3" authorId="0" shapeId="0" xr:uid="{00000000-0006-0000-2500-000001000000}">
      <text>
        <r>
          <rPr>
            <sz val="9"/>
            <color indexed="81"/>
            <rFont val="Tahoma"/>
            <family val="2"/>
          </rPr>
          <t xml:space="preserve">اصلی+مانوری
</t>
        </r>
      </text>
    </comment>
    <comment ref="F13" authorId="0" shapeId="0" xr:uid="{00000000-0006-0000-2500-000002000000}">
      <text>
        <r>
          <rPr>
            <sz val="9"/>
            <color indexed="81"/>
            <rFont val="Tahoma"/>
            <family val="2"/>
          </rPr>
          <t xml:space="preserve">اصلی+مانوری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2C00-000001000000}">
      <text>
        <r>
          <rPr>
            <b/>
            <sz val="11"/>
            <rFont val="Calibri"/>
            <family val="2"/>
          </rPr>
          <t>Author:</t>
        </r>
        <r>
          <rPr>
            <sz val="11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 xml:space="preserve">تعداد کل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<sst xmlns="http://schemas.openxmlformats.org/spreadsheetml/2006/main" count="6430" uniqueCount="2037">
  <si>
    <t xml:space="preserve">جدول شماره 1 - خلاصه آمار راه آهن </t>
  </si>
  <si>
    <t>شرح</t>
  </si>
  <si>
    <t>واحد</t>
  </si>
  <si>
    <t>طول خطوط اصلي</t>
  </si>
  <si>
    <t>كيلومتر</t>
  </si>
  <si>
    <t>تعدادپرسنل</t>
  </si>
  <si>
    <t>نفر</t>
  </si>
  <si>
    <t>تعداد پرسنل پیمانکار</t>
  </si>
  <si>
    <t>...</t>
  </si>
  <si>
    <t>تعداد واگن هاي باري آماده به کار*</t>
  </si>
  <si>
    <t>دستگاه</t>
  </si>
  <si>
    <t>ميانگين تعداد سالنهاي مسافري آماده به کار*</t>
  </si>
  <si>
    <t>ميانگين تعداد سالنهاي مسافري و خدماتی آماده به کار*</t>
  </si>
  <si>
    <t>ميانگين تعداد لكوموتيو آماده به کار*</t>
  </si>
  <si>
    <t>تعداد مسافر</t>
  </si>
  <si>
    <t>هزارنفر</t>
  </si>
  <si>
    <t>نفركيلومتر مسافر</t>
  </si>
  <si>
    <t>ميليون نفركيلومتر</t>
  </si>
  <si>
    <t>تناژ بار بارگيري شده</t>
  </si>
  <si>
    <t>هزارتن</t>
  </si>
  <si>
    <t>تن كيلومتربار</t>
  </si>
  <si>
    <t>ميليون تن كيلومتر</t>
  </si>
  <si>
    <t>تناژ ناخالص **</t>
  </si>
  <si>
    <t>تن كيلومترناخالص**</t>
  </si>
  <si>
    <t>تعداد واگن هاي بارگيري شده</t>
  </si>
  <si>
    <t>تناژ بار داخلی</t>
  </si>
  <si>
    <t>تناژ بار وارده</t>
  </si>
  <si>
    <t>تناژ بار  صادره</t>
  </si>
  <si>
    <t>تناژ بار  ترانزيت</t>
  </si>
  <si>
    <t>هزار تن</t>
  </si>
  <si>
    <t>سوخت مصرفی لکوموتیوها (گازوئيل )</t>
  </si>
  <si>
    <t>میلیون ليتر</t>
  </si>
  <si>
    <t xml:space="preserve">درآمد حمل بار </t>
  </si>
  <si>
    <t>میلیارد ریال</t>
  </si>
  <si>
    <t>هزينه جاري</t>
  </si>
  <si>
    <t>پرداخت هاي طرحهاي عمراني ***</t>
  </si>
  <si>
    <t>*** اطلاعات پرداختهای عمرانی در سالهای 1399-1393 اصلاح شده است.</t>
  </si>
  <si>
    <t xml:space="preserve">فروردين </t>
  </si>
  <si>
    <t>ارديبهشت</t>
  </si>
  <si>
    <t>خرداد</t>
  </si>
  <si>
    <t>تير</t>
  </si>
  <si>
    <t>مرداد</t>
  </si>
  <si>
    <t>شهريور</t>
  </si>
  <si>
    <t>مهر</t>
  </si>
  <si>
    <t xml:space="preserve">آبان </t>
  </si>
  <si>
    <t>آذر</t>
  </si>
  <si>
    <t xml:space="preserve">دي </t>
  </si>
  <si>
    <t>بهمن</t>
  </si>
  <si>
    <t>اسفند</t>
  </si>
  <si>
    <t>جمع</t>
  </si>
  <si>
    <t xml:space="preserve">ميانگين تعداد سالن هاي مسافري آماده بکار </t>
  </si>
  <si>
    <t xml:space="preserve">ميانگين تعداد  واگن هاي خدماتی مسافری آماده بکار </t>
  </si>
  <si>
    <t xml:space="preserve">میانگین تعداد واگن های باری آماده بکار </t>
  </si>
  <si>
    <t>تعدادمسافر</t>
  </si>
  <si>
    <t>هزار نفر</t>
  </si>
  <si>
    <t>نفركيلومترمسافر</t>
  </si>
  <si>
    <t>میلیون نفركيلومتر</t>
  </si>
  <si>
    <t>متوسط سيرمسافر</t>
  </si>
  <si>
    <t xml:space="preserve">تن كيلومتر بار </t>
  </si>
  <si>
    <t>میلیون تن كيلومتر</t>
  </si>
  <si>
    <t>متوسط سير بار</t>
  </si>
  <si>
    <t>تناژ ناخالص باری</t>
  </si>
  <si>
    <t>تن كيلومتر  ناخالص باری</t>
  </si>
  <si>
    <t>درآمد بار داخلي</t>
  </si>
  <si>
    <t>ميليون ريال</t>
  </si>
  <si>
    <t xml:space="preserve">درآمد بار وارده و صادره </t>
  </si>
  <si>
    <t xml:space="preserve">درآمدبار ترانزيت </t>
  </si>
  <si>
    <t>جمع كل درآمد حمل بار</t>
  </si>
  <si>
    <t>جنوب</t>
  </si>
  <si>
    <t>لرستان</t>
  </si>
  <si>
    <t>اراك</t>
  </si>
  <si>
    <t>تهران</t>
  </si>
  <si>
    <t>شمال</t>
  </si>
  <si>
    <t>شمال2</t>
  </si>
  <si>
    <t>شمالشرق</t>
  </si>
  <si>
    <t>شمالشرق2</t>
  </si>
  <si>
    <t>خراسان</t>
  </si>
  <si>
    <t>شمالغرب</t>
  </si>
  <si>
    <t>آذربايجان</t>
  </si>
  <si>
    <t>اصفهان</t>
  </si>
  <si>
    <t>يزد</t>
  </si>
  <si>
    <t>کرمان</t>
  </si>
  <si>
    <t>جنوبشرق</t>
  </si>
  <si>
    <t>هرمزگان</t>
  </si>
  <si>
    <t>شرق</t>
  </si>
  <si>
    <t>فارس</t>
  </si>
  <si>
    <t>زاگرس</t>
  </si>
  <si>
    <t>قم</t>
  </si>
  <si>
    <t>غرب</t>
  </si>
  <si>
    <t xml:space="preserve">پست وتوشه </t>
  </si>
  <si>
    <t>حمل خودرو</t>
  </si>
  <si>
    <t>تعداد پرسنل</t>
  </si>
  <si>
    <t>تن كيلومتر بار مرزی</t>
  </si>
  <si>
    <t xml:space="preserve">         ميليون   تن كيلومتر</t>
  </si>
  <si>
    <t xml:space="preserve">درآمد بار داخلي </t>
  </si>
  <si>
    <t>-</t>
  </si>
  <si>
    <t xml:space="preserve">درآمدبارترانزيت </t>
  </si>
  <si>
    <t>جمع كل درآمد  حمل بار</t>
  </si>
  <si>
    <t>نمودارهاي روندي امكانات و فعاليتهای راه آهن در ده سال اخير</t>
  </si>
  <si>
    <t>مرز ورودي</t>
  </si>
  <si>
    <t>مرز خروجي</t>
  </si>
  <si>
    <t>نام كالا</t>
  </si>
  <si>
    <t>تعداد واگن</t>
  </si>
  <si>
    <t xml:space="preserve">تناژ </t>
  </si>
  <si>
    <t>تن كيلومتر</t>
  </si>
  <si>
    <t>آستارا-آذربايجان</t>
  </si>
  <si>
    <t>آستارا</t>
  </si>
  <si>
    <t>آرد از هر قبيل(گندم- جو-ذرت )</t>
  </si>
  <si>
    <t>ارزن</t>
  </si>
  <si>
    <t>اقلام متفرقه</t>
  </si>
  <si>
    <t>پلي اتيلن کيسه اي-PET</t>
  </si>
  <si>
    <t>پياز</t>
  </si>
  <si>
    <t>تخته سه لايي</t>
  </si>
  <si>
    <t>تخته نجاري(غير از:)</t>
  </si>
  <si>
    <t>جو</t>
  </si>
  <si>
    <t>چوب بصورت روكشي</t>
  </si>
  <si>
    <t>خاك صنعتي و خاك ماسه</t>
  </si>
  <si>
    <t>خمير كاغذ</t>
  </si>
  <si>
    <t>دانه هاي نباتي و روغني</t>
  </si>
  <si>
    <t>ذرت</t>
  </si>
  <si>
    <t>زغالهاي صنعتي و:.</t>
  </si>
  <si>
    <t>سبوس</t>
  </si>
  <si>
    <t>سنگ روي</t>
  </si>
  <si>
    <t>شيرخشك وشيركنسرو</t>
  </si>
  <si>
    <t>شيشه (جام شيشه)</t>
  </si>
  <si>
    <t>كاغذ از هر نوع</t>
  </si>
  <si>
    <t>گل اخري</t>
  </si>
  <si>
    <t>گندم</t>
  </si>
  <si>
    <t>ماكاروني</t>
  </si>
  <si>
    <t>مواد شيميايي(به استثناي آنچه نامبرده شده)</t>
  </si>
  <si>
    <t>نخود خشك</t>
  </si>
  <si>
    <t>جمع محور آستارا-آذربایجان به آستارا</t>
  </si>
  <si>
    <t>رازي</t>
  </si>
  <si>
    <t>سرخس</t>
  </si>
  <si>
    <t>اسيدها به طوركلي(با رعايت مفاد تعرفه )</t>
  </si>
  <si>
    <t>الكترود</t>
  </si>
  <si>
    <t>آلومينيوم(بصورت شمش)</t>
  </si>
  <si>
    <t>آهن آلات ( بصورت ورق خ ميله خ ميل گرد خ تير خ پروفيل)</t>
  </si>
  <si>
    <t>باطري (از هر نوع )</t>
  </si>
  <si>
    <t>بنزين</t>
  </si>
  <si>
    <t>پلاستيك و مصنوعات آن</t>
  </si>
  <si>
    <t>چدن (به صورت ورق واشياآ ساخته شده)</t>
  </si>
  <si>
    <t>دگمه</t>
  </si>
  <si>
    <t>رزين از هرنوع(صمغ)</t>
  </si>
  <si>
    <t>زغال چوب</t>
  </si>
  <si>
    <t>سيم مفتول</t>
  </si>
  <si>
    <t>شن وريگ</t>
  </si>
  <si>
    <t>صابون غير عطري ورختشويي</t>
  </si>
  <si>
    <t>فولاد(به صورت شمش)</t>
  </si>
  <si>
    <t>فولاد(به صورت ورق و اشياآ ساخته شده)</t>
  </si>
  <si>
    <t>قير از هر نوع و هر شكل</t>
  </si>
  <si>
    <t>كابل و سيم</t>
  </si>
  <si>
    <t>كتاب و مجله و مطبوعات</t>
  </si>
  <si>
    <t>كنجاله سويا و ساير تفاله هاي دانه هاي روغني</t>
  </si>
  <si>
    <t>كود شيميايي</t>
  </si>
  <si>
    <t>لباس دوخته ( پوشاك )</t>
  </si>
  <si>
    <t>لوازم برقي كه نام برده نشده</t>
  </si>
  <si>
    <t>لوله هاي پلاستيكي</t>
  </si>
  <si>
    <t>لوله هاي فلزي و سرلوله از هر قبيل</t>
  </si>
  <si>
    <t>ميزو مبل و صندلي چوبي</t>
  </si>
  <si>
    <t>ميزو مبل و صندلي فلزي</t>
  </si>
  <si>
    <t>نخ از هر قبيل(سادهخ تابيدهخ پشمخ گياهيخ ابريشم)</t>
  </si>
  <si>
    <t>نشاسته</t>
  </si>
  <si>
    <t>جمع محور رازی به سرخس</t>
  </si>
  <si>
    <t>بندرعباس</t>
  </si>
  <si>
    <t>كانتينر باردار</t>
  </si>
  <si>
    <t>كانتينر خالي</t>
  </si>
  <si>
    <t>كربنات دو سود يا سودا</t>
  </si>
  <si>
    <t>گوگرد خام</t>
  </si>
  <si>
    <t>ماشين الات صنعتي از هر قبيل</t>
  </si>
  <si>
    <t>گازوئيل</t>
  </si>
  <si>
    <t>نفت كوره (مازوت)</t>
  </si>
  <si>
    <t>وازلين</t>
  </si>
  <si>
    <t>جمع محور سرخس به بندرعباس</t>
  </si>
  <si>
    <t>آلياژهاي فرو منگنز بصورت پودر</t>
  </si>
  <si>
    <t>برنج خواركي از هر نوع</t>
  </si>
  <si>
    <t>بادام (با پوست )</t>
  </si>
  <si>
    <t>پلي - ونيل - كلرايد</t>
  </si>
  <si>
    <t>چاي</t>
  </si>
  <si>
    <t>چسب از هر نوع</t>
  </si>
  <si>
    <t>حبوبات</t>
  </si>
  <si>
    <t>روغن خوراكي(حيواني ونباتي لزهر نوع)</t>
  </si>
  <si>
    <t>روغن مخصوص ماشين آلات</t>
  </si>
  <si>
    <t>رول 30 تني</t>
  </si>
  <si>
    <t>سنگ آهن</t>
  </si>
  <si>
    <t>سنگ گرانيت</t>
  </si>
  <si>
    <t>سنگ هاي قيمتي و مصنوعات آن(به غير از آنچه نام برده شده)</t>
  </si>
  <si>
    <t>سنگ هاي مرمر صيقلي شده</t>
  </si>
  <si>
    <t>سنگهاي مرمر طبيعي صيقل نشده</t>
  </si>
  <si>
    <t>صابون عطري</t>
  </si>
  <si>
    <t>كاشي از هر نوع(ساخت داخل وخارج)</t>
  </si>
  <si>
    <t>گلوكز</t>
  </si>
  <si>
    <t>لاستيك خام</t>
  </si>
  <si>
    <t>لاستيك ماشين (توئي و روئي)</t>
  </si>
  <si>
    <t>ميوه جات و سبزيجات محفوظ كمپوت وكنسرو</t>
  </si>
  <si>
    <t>جمع محور بندرعباس به سرخس</t>
  </si>
  <si>
    <t>جلفا</t>
  </si>
  <si>
    <t>پنبه منگنه شده تجاري</t>
  </si>
  <si>
    <t>توتون و تنباكو</t>
  </si>
  <si>
    <t>سريشم و سريش</t>
  </si>
  <si>
    <t>سيگاروسيگارت</t>
  </si>
  <si>
    <t>جمع محور رازی به جلفا</t>
  </si>
  <si>
    <t>سهلان</t>
  </si>
  <si>
    <t>ريل</t>
  </si>
  <si>
    <t>سبزيجات خشك</t>
  </si>
  <si>
    <t>شكلات</t>
  </si>
  <si>
    <t>قطعات ماشين آلات</t>
  </si>
  <si>
    <t>كاكائو</t>
  </si>
  <si>
    <t>كنسرو گوشت و ماهي</t>
  </si>
  <si>
    <t>مالت</t>
  </si>
  <si>
    <t>جمع محور رازی به سهلان</t>
  </si>
  <si>
    <t>تبريز</t>
  </si>
  <si>
    <t>مخزن وظرفهاي بزرگ</t>
  </si>
  <si>
    <t>جمع محور رازي به تبریز</t>
  </si>
  <si>
    <t>خرما</t>
  </si>
  <si>
    <t>فلفل</t>
  </si>
  <si>
    <t>قهوه</t>
  </si>
  <si>
    <t>جمع محور سهلان به رازي</t>
  </si>
  <si>
    <t>ابزار درب و پنجره (دستگيره خ لولاخ قفلخ مغزي)</t>
  </si>
  <si>
    <t>اتومبيل خودرو(طبق مقررات تعرفه )</t>
  </si>
  <si>
    <t>افزار آلات به استثناآ (پتك و سندان )</t>
  </si>
  <si>
    <t>الكل طبي و صنعتي</t>
  </si>
  <si>
    <t>آلومينيوم(بصورت ورق و اشيا ساخته شده )</t>
  </si>
  <si>
    <t>پارچه وقماش از هر نوع كتانيخ پشمي خ ابريشميخ نخي)</t>
  </si>
  <si>
    <t>پمپ</t>
  </si>
  <si>
    <t>پودر و مايعات پاك كن</t>
  </si>
  <si>
    <t>ترانسفورماتور</t>
  </si>
  <si>
    <t>خاك سيليس دار</t>
  </si>
  <si>
    <t>خاكهاي غير صنعتي</t>
  </si>
  <si>
    <t>خامه شير</t>
  </si>
  <si>
    <t>داروهاي طبي و سنتي ازهر نوع</t>
  </si>
  <si>
    <t>دستگا ههاي رخت شوئي</t>
  </si>
  <si>
    <t>دستگاهاي گرم و كننده و سرد كننده</t>
  </si>
  <si>
    <t>دستگاههاي نمايشي</t>
  </si>
  <si>
    <t>رنگ هاي ساخته شده از هر نوغ</t>
  </si>
  <si>
    <t>سراميك و مصنوعات سراميكي</t>
  </si>
  <si>
    <t>سود محرق ياسود كستيك يا:.</t>
  </si>
  <si>
    <t>سيمان ساده فله</t>
  </si>
  <si>
    <t>سيمان ساده(كيسه اي)</t>
  </si>
  <si>
    <t>شكر</t>
  </si>
  <si>
    <t>شمع وانواع آن</t>
  </si>
  <si>
    <t>شيريني جات و حلويات</t>
  </si>
  <si>
    <t>فرش ماشيني از هر قبيل</t>
  </si>
  <si>
    <t>فسفات پتاسيم</t>
  </si>
  <si>
    <t>فسفات سديم</t>
  </si>
  <si>
    <t>قند</t>
  </si>
  <si>
    <t>كارتن</t>
  </si>
  <si>
    <t>كفش از هر قبيل</t>
  </si>
  <si>
    <t>لوله پليكا</t>
  </si>
  <si>
    <t>ماشينهاي كشاورزي</t>
  </si>
  <si>
    <t>ملاس نيشكر</t>
  </si>
  <si>
    <t>ميوه جات ومركبات تازه درختي</t>
  </si>
  <si>
    <t>يخچال برقي و نفتي از هرقبيل</t>
  </si>
  <si>
    <t>تفاله ميوه جات و:.</t>
  </si>
  <si>
    <t>گازهاي فشرده شده مايع طبق فصل ششم تعرفه</t>
  </si>
  <si>
    <t>ماشين الات راه سازي (تراكتور- لودر- بولدوزر-گريدر:)</t>
  </si>
  <si>
    <t>جمع محور سرخس - سرخس</t>
  </si>
  <si>
    <t>اينچه برون</t>
  </si>
  <si>
    <t>آق يلا-ترکمنستان</t>
  </si>
  <si>
    <t>ترشيجات</t>
  </si>
  <si>
    <t>سبزيجات تازه(سير خ گوجه فرنگيخ خيار و غيره)</t>
  </si>
  <si>
    <t>تخم سبزيجات و شبدر</t>
  </si>
  <si>
    <t>كانتينر</t>
  </si>
  <si>
    <t>تشك از هر قبيل</t>
  </si>
  <si>
    <t>بندر امير آباد</t>
  </si>
  <si>
    <t>شمتيغ</t>
  </si>
  <si>
    <t>شهيد مطهري</t>
  </si>
  <si>
    <t>خاك و كلوخه كائولين</t>
  </si>
  <si>
    <t>بوژي</t>
  </si>
  <si>
    <t>واگن بدون بار</t>
  </si>
  <si>
    <t>زاهدان-مسافري</t>
  </si>
  <si>
    <t>ميل 72</t>
  </si>
  <si>
    <t>افغانستان</t>
  </si>
  <si>
    <t>بندرتركمن</t>
  </si>
  <si>
    <t>بالن هاي گاز ( خالي )</t>
  </si>
  <si>
    <t>انجيلاوند</t>
  </si>
  <si>
    <t>فريمان</t>
  </si>
  <si>
    <t>نيك پسندي</t>
  </si>
  <si>
    <t>ميرجاوه</t>
  </si>
  <si>
    <t>نمك طعام بصورت پودر</t>
  </si>
  <si>
    <t>جمع محورهای مختلف</t>
  </si>
  <si>
    <t>جمع کل</t>
  </si>
  <si>
    <t>ماخذ: اداره کل سير و حرکت</t>
  </si>
  <si>
    <t>سال</t>
  </si>
  <si>
    <t>درصدتغييرات</t>
  </si>
  <si>
    <t>نفتي</t>
  </si>
  <si>
    <t>غيرنفتي</t>
  </si>
  <si>
    <t>كل</t>
  </si>
  <si>
    <t>تناژ</t>
  </si>
  <si>
    <t>جدول شماره 6 - عملكرد صادره - وارده و ترانزيتي حمل كالا به تفكيك نفتي وغيرنفتي درسالهاي 1402-1401</t>
  </si>
  <si>
    <t>درصد
تغييرات</t>
  </si>
  <si>
    <t>بندرامام</t>
  </si>
  <si>
    <t>واگن</t>
  </si>
  <si>
    <t>با شیت 33 متفاوت است.</t>
  </si>
  <si>
    <t>بندراميرآباد</t>
  </si>
  <si>
    <t>اینچه برون</t>
  </si>
  <si>
    <t>ماهشهر</t>
  </si>
  <si>
    <t>شلمچه</t>
  </si>
  <si>
    <t>سایر</t>
  </si>
  <si>
    <t>با جمع تبریز و میانه و اصفهان ماهنامه نیز مغایرت دارد</t>
  </si>
  <si>
    <t>جمع كل صادره</t>
  </si>
  <si>
    <t xml:space="preserve">جمع كل وارده </t>
  </si>
  <si>
    <t xml:space="preserve"> </t>
  </si>
  <si>
    <t>جمع ترانزيت</t>
  </si>
  <si>
    <t>توضیحات: به منظور یکسان سازی اطلاعات میان سامانه های آماری ادارات کل سیر و حرکت، بازرگانی داخلی و خارجی، از ابتدای سال 1401 نوع حمل (داخلی، صادرات، واردات یا ترانزیت) بار بر اساس بارنامه ثبت شده است.</t>
  </si>
  <si>
    <t>جدول شماره 7 - تناژ بار وارده راه آهن ازمبادي ورودي در ده سال اخير</t>
  </si>
  <si>
    <t>(ارقام به هزار)</t>
  </si>
  <si>
    <t>سربندر</t>
  </si>
  <si>
    <t>خرمشهر</t>
  </si>
  <si>
    <t>اميرآباد</t>
  </si>
  <si>
    <t>جدول شماره 8 - تناژ بار صادره راه آهن به مقاصد خروجي در ده سال اخير</t>
  </si>
  <si>
    <t xml:space="preserve">اینچه برون </t>
  </si>
  <si>
    <t>جدول شماره 9 - تعداد واگن هاي وارده راه آهن درسال 1402 و مقايسه آن با سال قبل</t>
  </si>
  <si>
    <t>جدول شماره 10 - تعداد واگن هاي صادره  راه آهن درسال 1402 و مقايسه آن با سال قبل</t>
  </si>
  <si>
    <t>جدول شماره 11 - تناژ بار وارده راه آهن درسال 1402 و مقايسه آن با سال قبل</t>
  </si>
  <si>
    <t>جدول شماره 12 - تناژ بار صادره راه آهن درسال 1402 و مقايسه آن با سال قبل</t>
  </si>
  <si>
    <t>جدول شماره 13 - تن كيلومتر بار وارده راه آهن درسال 1402 و مقايسه آن با سال قبل</t>
  </si>
  <si>
    <t>جدول شماره 14 -  تن كيلومتر بار صادره راه آهن درسال 1402 و مقايسه آن با سال قبل</t>
  </si>
  <si>
    <t>مقايسه</t>
  </si>
  <si>
    <t>میرجاوه</t>
  </si>
  <si>
    <t>بندرامیرآباد</t>
  </si>
  <si>
    <t>بندر امیرآباد</t>
  </si>
  <si>
    <t>ماخذ : اداره كل سير وحركت</t>
  </si>
  <si>
    <t>مغایرت با ماهنامه  دارد  با هماهنگی خانم یگانه سایر(تبریز میانه و اصفهان )درج شده و نیز درصورت لزوم توضیحات ذیل در زیر نمودارها درج گردد.</t>
  </si>
  <si>
    <t>آمارتجمعی بار بر اساس نوع حمل و نقل</t>
  </si>
  <si>
    <t xml:space="preserve">تاريخ تهيه : </t>
  </si>
  <si>
    <t>بسمه تعالي</t>
  </si>
  <si>
    <t>شرکت راه آهن جمهوري اسلامي ايران</t>
  </si>
  <si>
    <t> 1399/12/29</t>
  </si>
  <si>
    <t>تا تاريخ</t>
  </si>
  <si>
    <t> 1399/01/01</t>
  </si>
  <si>
    <t>از تاريخ</t>
  </si>
  <si>
    <t xml:space="preserve">گزارش تجمعي وضعيت حمل بار </t>
  </si>
  <si>
    <t>تن کيلومتر مبدا-مقصد</t>
  </si>
  <si>
    <t>نوع حمل و نقل</t>
  </si>
  <si>
    <t>کالا</t>
  </si>
  <si>
    <t>مقصد</t>
  </si>
  <si>
    <t>مبدا</t>
  </si>
  <si>
    <t>ناحيه</t>
  </si>
  <si>
    <t>رديف</t>
  </si>
  <si>
    <t>      155,502,430</t>
  </si>
  <si>
    <t>واردات</t>
  </si>
  <si>
    <t>--</t>
  </si>
  <si>
    <t>      2,008,841,651</t>
  </si>
  <si>
    <t>      33,857,722</t>
  </si>
  <si>
    <t>      21,225,715</t>
  </si>
  <si>
    <t>      21,822,900</t>
  </si>
  <si>
    <t>      1,497,672</t>
  </si>
  <si>
    <t>      1,278,679,319</t>
  </si>
  <si>
    <t>  جمع كل :</t>
  </si>
  <si>
    <t>"اين گزارش بدون تائيد اداره کل سير و حرکت فاقد اعتبار مي باشد"</t>
  </si>
  <si>
    <t>گزارش حمل  و نقل کالا بر اساس نوع حمل و نقل</t>
  </si>
  <si>
    <t>       1,025,720</t>
  </si>
  <si>
    <t>       17,217</t>
  </si>
  <si>
    <t>       3,611,790</t>
  </si>
  <si>
    <t>       64,462</t>
  </si>
  <si>
    <t xml:space="preserve">صفحه : 1        </t>
  </si>
  <si>
    <t xml:space="preserve">ساعت :  </t>
  </si>
  <si>
    <t xml:space="preserve">1400/07/24 </t>
  </si>
  <si>
    <t>از تاريخ  </t>
  </si>
  <si>
    <t>گزارش تجمعي حمل و نقل كالا در ناحيه به تفكيك نوع حمل و نقل</t>
  </si>
  <si>
    <t> 1399/12/30</t>
  </si>
  <si>
    <t>نوع حمل</t>
  </si>
  <si>
    <t>      25,300</t>
  </si>
  <si>
    <t>      485</t>
  </si>
  <si>
    <t>جمع ناحيه</t>
  </si>
  <si>
    <t>      200,175</t>
  </si>
  <si>
    <t>      5,069</t>
  </si>
  <si>
    <t>      7,140</t>
  </si>
  <si>
    <t>      105</t>
  </si>
  <si>
    <t>      145,486</t>
  </si>
  <si>
    <t>      2,408</t>
  </si>
  <si>
    <t>      1,025,720</t>
  </si>
  <si>
    <t>      17,217</t>
  </si>
  <si>
    <t>      1,285,286,381</t>
  </si>
  <si>
    <t>      1,031,001</t>
  </si>
  <si>
    <t>      17,293</t>
  </si>
  <si>
    <t>      137,301</t>
  </si>
  <si>
    <t>      2,442</t>
  </si>
  <si>
    <t>      33,896,122</t>
  </si>
  <si>
    <t>      137,557</t>
  </si>
  <si>
    <t>      2,447</t>
  </si>
  <si>
    <t>      2,070,668</t>
  </si>
  <si>
    <t>      36,736</t>
  </si>
  <si>
    <t>      2,010,220,730</t>
  </si>
  <si>
    <t>      2,071,446</t>
  </si>
  <si>
    <t>      36,750</t>
  </si>
  <si>
    <t>جمع كل</t>
  </si>
  <si>
    <t>      3,521,427,409</t>
  </si>
  <si>
    <t>      3,611,790</t>
  </si>
  <si>
    <t>      64,462</t>
  </si>
  <si>
    <t>      3,529,451,950</t>
  </si>
  <si>
    <t>      3,618,105</t>
  </si>
  <si>
    <t>      64,557</t>
  </si>
  <si>
    <t>گزارشات حمل و نقل به صورت جزیی تجمعثی</t>
  </si>
  <si>
    <t>  جمع كل</t>
  </si>
  <si>
    <t>جدول شماره 15 - تعدادواگن هاي بارگيري شده درسال 1401 و مقايسه آن با سال قبل</t>
  </si>
  <si>
    <t>پست و توشه</t>
  </si>
  <si>
    <t xml:space="preserve"> حمل خودرو</t>
  </si>
  <si>
    <t xml:space="preserve">    ماخذ :اداره كل سيروحركت</t>
  </si>
  <si>
    <t xml:space="preserve">شمالشرق  1 </t>
  </si>
  <si>
    <t>شمالشرق 2</t>
  </si>
  <si>
    <t>یزد</t>
  </si>
  <si>
    <t>كرمان</t>
  </si>
  <si>
    <t xml:space="preserve">پست و توشه </t>
  </si>
  <si>
    <t>آبان</t>
  </si>
  <si>
    <t>دي</t>
  </si>
  <si>
    <t xml:space="preserve">    ماخذ : اداره كل سير وحركت</t>
  </si>
  <si>
    <t>Row Labels</t>
  </si>
  <si>
    <t>فروردین</t>
  </si>
  <si>
    <t>اردیبهشت</t>
  </si>
  <si>
    <t>تیر</t>
  </si>
  <si>
    <t>شهریور</t>
  </si>
  <si>
    <t>دی</t>
  </si>
  <si>
    <t>جدول شماره 17 - تناژبار بارگيري شده درسال 1401 و مقايسه آن با سال قبل</t>
  </si>
  <si>
    <t xml:space="preserve">    ماخذ: اداره كل سيروحركت</t>
  </si>
  <si>
    <t>فروردين</t>
  </si>
  <si>
    <t>جمع مواد نفتي</t>
  </si>
  <si>
    <t>مواد نفتي</t>
  </si>
  <si>
    <t>زغال سنگ</t>
  </si>
  <si>
    <t>مواد معدني</t>
  </si>
  <si>
    <t>سايرموادمعدني</t>
  </si>
  <si>
    <t>مواد كشاورزي</t>
  </si>
  <si>
    <t xml:space="preserve">جمع </t>
  </si>
  <si>
    <t>مواد غذايي</t>
  </si>
  <si>
    <t>سیمان</t>
  </si>
  <si>
    <t>مواد صنعتي</t>
  </si>
  <si>
    <t>بالاست</t>
  </si>
  <si>
    <t>سايرمحمولات</t>
  </si>
  <si>
    <t>غله</t>
  </si>
  <si>
    <t>با ماهنامه مغایرت دارد</t>
  </si>
  <si>
    <t>توشه و حمل خودرو</t>
  </si>
  <si>
    <t>سايرموادكشاورزي</t>
  </si>
  <si>
    <t>موادغذايي</t>
  </si>
  <si>
    <t>آهن آلات</t>
  </si>
  <si>
    <t>آلومینیم</t>
  </si>
  <si>
    <t>چوب ومحصولات آن</t>
  </si>
  <si>
    <t>وسائط نقليه</t>
  </si>
  <si>
    <t>حيوانات</t>
  </si>
  <si>
    <t>گوگرد</t>
  </si>
  <si>
    <t>کانتینر</t>
  </si>
  <si>
    <t>سايربارها</t>
  </si>
  <si>
    <t>جمع كل محمولات مناطق</t>
  </si>
  <si>
    <t>ماخذ : اداره كل سير و حركت</t>
  </si>
  <si>
    <t>سايرباها</t>
  </si>
  <si>
    <t>جدول شماره 20 - تناژبار بارگيري شده به تفكيك مواد درسالهاي 1401 - 1397</t>
  </si>
  <si>
    <t>(هزار تن)</t>
  </si>
  <si>
    <t>لازم بذکر است آمار بالاست و سیمان در آمار مواد معدنی درج گردیده است .</t>
  </si>
  <si>
    <t xml:space="preserve">     ماخذ : اداره كل سير وحركت</t>
  </si>
  <si>
    <t>جدول شماره 22 - تن كيلومتربار مرزي درسال 1401 و مقايسه آن با سال قبل</t>
  </si>
  <si>
    <t>شمالشرق1</t>
  </si>
  <si>
    <t>ماخذ: اداره كل سيروحركت</t>
  </si>
  <si>
    <t xml:space="preserve"> پست و توشه </t>
  </si>
  <si>
    <t>پست وتوشه</t>
  </si>
  <si>
    <t>ناحیه تهران از اداره کل سیر و حرکت استعلام گردد .</t>
  </si>
  <si>
    <t>*B24</t>
  </si>
  <si>
    <t>جدول شماره 25 - واحد حمل درسال 1401 و مقايسه آن با سال قبل</t>
  </si>
  <si>
    <t>نفرکیلومتر</t>
  </si>
  <si>
    <t>تن</t>
  </si>
  <si>
    <t xml:space="preserve">ميانگين </t>
  </si>
  <si>
    <t>توضيح اينكه تن كيلومتر توشه درجدول محاسبه شده است.</t>
  </si>
  <si>
    <t>جدول شماره 26 - فعاليت و كاركرد كلي قطارها به تفكيك ماه در سال 1402</t>
  </si>
  <si>
    <t>جدول شماره 45 - فعاليت و كاركرد قطارها ي مسافري و محلی به تفكيك ماه در سال 1402</t>
  </si>
  <si>
    <t>جدول شماره 28 - فعاليت و كاركرد قطارهاي باري  و عملیات به تفكيك ماه در سال 1402</t>
  </si>
  <si>
    <t>جدول شماره 30 - فعاليت و كاركرد قطارهاي عمليات به تفكيك ماه در سال1401</t>
  </si>
  <si>
    <t>جدول شماره 49 - فعاليت و كاركرد قطارهاي محلي ومختلط به تفكيك ماه در سال 1402</t>
  </si>
  <si>
    <t>دفعات رفت وبرگشت</t>
  </si>
  <si>
    <t>تعدادواگن</t>
  </si>
  <si>
    <t>وزن بار به تن</t>
  </si>
  <si>
    <t>تن كيلومتر كلي</t>
  </si>
  <si>
    <t>قطاركيلومتر</t>
  </si>
  <si>
    <t>باردار</t>
  </si>
  <si>
    <t>خالي</t>
  </si>
  <si>
    <t>بارخالص</t>
  </si>
  <si>
    <t>بارباواگن</t>
  </si>
  <si>
    <t>خالص</t>
  </si>
  <si>
    <t>غيرخالص</t>
  </si>
  <si>
    <t>جدول شماره 27 - فعاليت و كاركرد كلي قطارها به تفكيك مناطق در سال 1402</t>
  </si>
  <si>
    <t>جدول شماره46 - فعاليت و كاركرد قطارهاي مسافري  و محلی به تفكيك مناطق در سال 1402</t>
  </si>
  <si>
    <t>جدول شماره 29 - فعاليت و كاركرد قطارهاي باري  و عملیات به تفكيك مناطق در سال 1402</t>
  </si>
  <si>
    <t>جدول شماره 31 - فعاليت و كاركرد قطارهاي عمليات به تفكيك مناطق در سال1401</t>
  </si>
  <si>
    <t>جدول شماره 50 - فعاليت و كاركرد قطارهاي محلي ومختلط به تفكيك مناطق در سال1401</t>
  </si>
  <si>
    <t>شمال 2</t>
  </si>
  <si>
    <t>شمالشرق 1</t>
  </si>
  <si>
    <t>با اطلاعات ماهنامه مغایرت دارد /</t>
  </si>
  <si>
    <t>اهم نقاط قوت عملکرد حمل و نقل بار در سال 1402</t>
  </si>
  <si>
    <t>عنوان</t>
  </si>
  <si>
    <t>تناژ از دست رفته
(هزار تن)</t>
  </si>
  <si>
    <t>تن کیلومتر از دست رفته
(میلیون تن کیلومتر)</t>
  </si>
  <si>
    <t>افزایش بارگیری  مواد معدنی از   سلطانيه  به  سنگان  به میزان 516 هزار تن  و 702 میلیون تن کیلومتر</t>
  </si>
  <si>
    <t>بارگیری مواد معدني از گندله سازي اردکان به زرين شهر</t>
  </si>
  <si>
    <t>افزایش بارگیری  مواد معدنی از  گل گهر و معدن گل گهر به مجتمع فولاد مبارکه به میزان 369 هزار تن  و 294 میلیون تن کیلومتر</t>
  </si>
  <si>
    <t>بارگیری مواد معدني از سنگان به پورمند/جلال آباد</t>
  </si>
  <si>
    <t>افزایش بارگیری  پودر سنگ آهن از  معدن گل گهر به مجتمع فولاد خوزستان به میزان 229 هزار تن  و 362 میلیون تن کیلومتر</t>
  </si>
  <si>
    <t>بارگیری مواد معدني از مهيار به حسن آباد/ريز</t>
  </si>
  <si>
    <t>افزایش بارگیری  مواد معدنی از  سنگان به مجتمع فولاد خراسان به میزان 220 هزار تن  و 72 میلیون تن کیلومتر</t>
  </si>
  <si>
    <t>بارگیری سيمان از باغيک به بندر امام</t>
  </si>
  <si>
    <t>افزایش بارگیری  گندله آهن از  مجتمع سنگان به مجتمع فولاد مبارکه به میزان 262 هزار تن  و 317 میلیون تن کیلومتر</t>
  </si>
  <si>
    <t>بارگیری خاك/ شن/ ماسه از لوشان به پيربازار</t>
  </si>
  <si>
    <t>افزایش بارگیری  مواد معدنی از  چادرملو به مجتمع فولاد خوزستان به میزان 292 هزار تن  و 369 میلیون تن کیلومتر</t>
  </si>
  <si>
    <t>بارگیری كانتينر از کرمانشاه به بندرعباس</t>
  </si>
  <si>
    <t>بارگیری مواد معدني از چادرملو به بندرعباس</t>
  </si>
  <si>
    <t>بارگیری سيمان از درود به بندر امام</t>
  </si>
  <si>
    <t>بارگیری غلات از بندر امام به صوفيان</t>
  </si>
  <si>
    <t>بارگیری مواد معدني از سلطانيه به حسن آباد/ريز</t>
  </si>
  <si>
    <t>بارگیری مواد معدني از سنگان به بندر امام</t>
  </si>
  <si>
    <t>بارگیری مواد معدني از سنگان به زرند</t>
  </si>
  <si>
    <t>بارگیری غلات از سيوند به كرج</t>
  </si>
  <si>
    <t>بارگیری كنجاله/ تفاله از بندر امام به رشت</t>
  </si>
  <si>
    <t>بارگیری غلات از سيوند به كردان</t>
  </si>
  <si>
    <t>بارگیری آهن آلات از خرم دره به رازي</t>
  </si>
  <si>
    <t>بارگیری گوگرد خام از گنبدلي به بهاباد</t>
  </si>
  <si>
    <t>بارگیری كانتينر از بندرعباس به کرمانشاه</t>
  </si>
  <si>
    <t>بارگیری غلات از سيوند به رباط كريم</t>
  </si>
  <si>
    <t>بارگیری كانتينر از بندرعباس به خودروسازان</t>
  </si>
  <si>
    <t>بارگیری مواد معدني از گندله سازي اردکان به بندرعباس</t>
  </si>
  <si>
    <t>بارگیری روغن صنعتي از ملكي به بندرعباس</t>
  </si>
  <si>
    <t>بارگیری غلات از بندر امام به مشهد</t>
  </si>
  <si>
    <t>بارگیری گوگرد خام از گنبدلي به زاهدان</t>
  </si>
  <si>
    <t>افزایش بارگیری مواد معدني از سنگان به حسن آباد/ريز</t>
  </si>
  <si>
    <t>افزایش بارگیری مواد معدني از گل گهر به بندرعباس</t>
  </si>
  <si>
    <t>افزایش بارگیری مازوت از ري به شهيد مطهري</t>
  </si>
  <si>
    <t>افزایش بارگیری مواد معدني از چادرملو به گندله سازي اردکان</t>
  </si>
  <si>
    <t>افزایش بارگیری مواد معدني از پورمند/جلال آباد به بندرعباس</t>
  </si>
  <si>
    <t>افزایش بارگیری مازوت از ري به كهندژ</t>
  </si>
  <si>
    <t>افزایش بارگیری مواد معدني از تزرج به بندرعباس</t>
  </si>
  <si>
    <t>افزایش بارگیری مواد معدني از چغارت به بندرعباس</t>
  </si>
  <si>
    <t>افزایش بارگیری گوگرد خام از سرخس تركمنستان به بندرعباس</t>
  </si>
  <si>
    <t>افزایش بارگیری سيمان از درود به شلمچه</t>
  </si>
  <si>
    <t>افزایش بارگیری آهن آلات از بندرعباس به كهندژ</t>
  </si>
  <si>
    <t>افزایش بارگیری سيمان از شهيد مطهري به سرخس تركمنستان</t>
  </si>
  <si>
    <t>افزایش بارگیری چوب از آستارا-آذربايجان به آستارا</t>
  </si>
  <si>
    <t>افزایش بارگیری مواد معدني از چادرملو به مياندشت</t>
  </si>
  <si>
    <t>افزایش بارگیری مواد معدني از بيشه در به بندرعباس</t>
  </si>
  <si>
    <t>افزایش بارگیری مازوت از آب نيل به شهيد مطهري</t>
  </si>
  <si>
    <t>افزایش بارگیری مواد شيميايي از سرخس تركمنستان به بندرعباس</t>
  </si>
  <si>
    <t>افزایش بارگیری مواد معدني از سنگان به بندرعباس</t>
  </si>
  <si>
    <t>افزایش بارگیری گازوئيل از بندرعباس به يزد</t>
  </si>
  <si>
    <t>افزایش بارگیری سيمان از تربت حيدريه به سرخس تركمنستان</t>
  </si>
  <si>
    <t>افزایش بارگیری مواد معدني از رازي به بناب</t>
  </si>
  <si>
    <t>افزایش بارگیری آهن آلات از حسن آباد/ريز به اپرين</t>
  </si>
  <si>
    <t>افزایش بارگیری كانتينر از سمنان به بندرعباس</t>
  </si>
  <si>
    <t>افزایش بارگیری مواد معدني از سنگان به مياندشت</t>
  </si>
  <si>
    <t>افزایش بارگیری آهن آلات از اشكذر به بندرعباس</t>
  </si>
  <si>
    <t>افزایش بارگیری مواد معدني از چادرملو به زرين شهر</t>
  </si>
  <si>
    <t>افزایش بارگیری سيمان از دیزیچه/چاریسه به شلمچه</t>
  </si>
  <si>
    <t>افزایش بارگیری غلات از بندر امام به نكا</t>
  </si>
  <si>
    <t>افزایش بارگیری زغال سنگ و:. از زغال سنگ پروده به زرند</t>
  </si>
  <si>
    <t>افزایش بارگیری آهن آلات از فولاد خراسان به بندرعباس</t>
  </si>
  <si>
    <t>افزایش بارگیری غلات از بندر امام به زياران</t>
  </si>
  <si>
    <t>افزایش بارگیری زغال سنگ و:. از پل سفيد به زرين شهر</t>
  </si>
  <si>
    <t>افزایش بارگیری غلات از بندر امام به رشت</t>
  </si>
  <si>
    <t>افزایش بارگیری غلات از کرمانشاه به مشهد</t>
  </si>
  <si>
    <t>افزایش بارگیری گازوئيل از بندرعباس به زاهدان</t>
  </si>
  <si>
    <t>افزایش بارگیری مازوت از ري به بندرعباس</t>
  </si>
  <si>
    <t>افزایش بارگیری كانتينر از گار مانوري-قم به بندرعباس</t>
  </si>
  <si>
    <t>افزایش بارگیری روغن خوراكي از بندر امام به نيك پسندي</t>
  </si>
  <si>
    <t>افزایش بارگیری غلات از بندر امام به عطار</t>
  </si>
  <si>
    <t>افزایش بارگیری كانتينر از بندرعباس به اپرين</t>
  </si>
  <si>
    <t>افزایش بارگیری غلات از بندر امام به سمنان</t>
  </si>
  <si>
    <t>افزایش بارگیری چوب از رازي به سرخس تركمنستان</t>
  </si>
  <si>
    <t>افزایش بارگیری كانتينر از بندرعباس به انجيلاوند</t>
  </si>
  <si>
    <t>افزایش بارگیری غلات از بندر امام به كرج</t>
  </si>
  <si>
    <t>اهم نقاط قابل بهبود حمل و نقل بار در سال 1402</t>
  </si>
  <si>
    <t>بسته بودن مرز سرخس  از تاریخ  01/01/99 لغایت 01/04/99 به میزان 374   هزار تن و155  میلیون تن کیلومتر</t>
  </si>
  <si>
    <t>عدم بارگیری مواد معدني از چغارت به حسن آباد/ريز</t>
  </si>
  <si>
    <t>بسته بودن مرز اینچه برون  از تاریخ  01/01/99 لغایت 02/04/99 به میزان 80   هزار تن و14  میلیون تن کیلومتر</t>
  </si>
  <si>
    <t>عدم بارگیری مواد معدني از سلطانيه به سنگان</t>
  </si>
  <si>
    <t>بسته بودن مرز میرجاوه  از تاریخ  01/01/99 لغایت  19/04/99  به میزان 33   هزار تن و18  میلیون تن کیلومتر</t>
  </si>
  <si>
    <t>عدم بارگیری سنگ سرباره از حسن آباد/ريز به ايران کوه</t>
  </si>
  <si>
    <t>عدم بارگیری از چغارت به مقاصد  از تاریخ  01/01/99 لغایت 08/01/99 به میزان 91   هزار تن و64  میلیون تن کیلومتر</t>
  </si>
  <si>
    <t>عدم بارگیری مازوت از ماهشهر به كهندژ</t>
  </si>
  <si>
    <t>عدم بارگیری از چادرملو به میاندشت  از تاریخ  01/01/99 لغایت 09/01/99 به میزان 39   هزار تن و49  میلیون تن کیلومتر</t>
  </si>
  <si>
    <t>عدم بارگیری گازوئيل از بندرعباس به شهيد مطهري</t>
  </si>
  <si>
    <t>عدم بارگیری از چادرملو به مبارکه  از تاریخ 01/01/99  لغایت 08/01/99 به میزان 106   هزار تن و54  میلیون تن کیلومتر</t>
  </si>
  <si>
    <t>عدم بارگیری آهن آلات از حسن آباد/ريز به رشت</t>
  </si>
  <si>
    <t>عدم بارگیری از سه چاهون به چغارت  از تاریخ  01/01/99 لغایت 08/01/99  به میزان 34   هزار تن و5  میلیون تن کیلومتر</t>
  </si>
  <si>
    <t>عدم بارگیری مازوت از آب نيل به كهندژ</t>
  </si>
  <si>
    <t>عدم بارگیری   مواد معدنی   از   بيشه در  به  بندرعباس  به میزان 124 هزار تن  و 80 میلیون تن کیلومتر</t>
  </si>
  <si>
    <t>عدم بارگیری مواد معدني از چادرملو به سنگان</t>
  </si>
  <si>
    <t>عدم بارگیری مواد معدنی  از   پورمند  به  ريز  به میزان 92 هزار تن  و 61 میلیون تن کیلومتر</t>
  </si>
  <si>
    <t>عدم بارگیری مازوت از آب نيل به نكا</t>
  </si>
  <si>
    <t>عدم بارگیری مواد معدنی  از   جلال آباد  به  پولاد  به میزان 86 هزار تن  و 53 میلیون تن کیلومتر</t>
  </si>
  <si>
    <t>عدم بارگیری آهن آلات از كارون به انجيلاوند</t>
  </si>
  <si>
    <t>عدم بارگیری مواد معدنی  از   احيا  به  قم  به میزان 53 هزار تن  و 66 میلیون تن کیلومتر</t>
  </si>
  <si>
    <t>عدم بارگیری آهن آلات از زرين شهر به بندرعباس</t>
  </si>
  <si>
    <t>کاهش بارگیری  مواد معدنی از  مبادی به بندرعباس به میزان 2152 هزار تن  و 2197 میلیون تن کیلومتر</t>
  </si>
  <si>
    <t>عدم بارگیری مازوت از تبريز به ماهشهر</t>
  </si>
  <si>
    <t>کاهش بارگیری  مواد معدنی از  گل گهر به مجتمع فولاد خراسان به میزان 135 هزار تن  و 159 میلیون تن کیلومتر</t>
  </si>
  <si>
    <t>عدم بارگیری آهن آلات از اصفهان به رازي</t>
  </si>
  <si>
    <t>عدم بارگیری   دانه  هاي  نباتي  و روغني  از   بندرامام خميني  به  بندرتركمن، پل سفید، گرگان و غیره  به میزان 78 هزار تن  و 105 میلیون تن کیلومتر</t>
  </si>
  <si>
    <t>عدم بارگیری مواد شيميايي از درود به بندرعباس</t>
  </si>
  <si>
    <t>عدم بارگیری  نفت كوره (مازوت)  از   سرخس  به  بندرعباس  به میزان 69 هزار تن  و 112 میلیون تن کیلومتر</t>
  </si>
  <si>
    <t>عدم بارگیری غلات از بندر امام به كهندژ</t>
  </si>
  <si>
    <t>کاهش بارگیری  نفت کوره از  آبنیل به بندرعباس به میزان 183 هزار تن  و 192 میلیون تن کیلومتر</t>
  </si>
  <si>
    <t>عدم بارگیری نئوپان از بندر امام به شهيد مطهري</t>
  </si>
  <si>
    <t>عدم بارگیری  جو  از   بندرامام خميني  به  مشک آباد، خرم دره، تربت و غیره  به میزان 57 هزار تن  و 62 میلیون تن کیلومتر</t>
  </si>
  <si>
    <t>عدم بارگیری آهن آلات از بندر امام به انجيلاوند</t>
  </si>
  <si>
    <t>کاهش بارگیری  سیمان از  تربت حيدريه به مقاصد به میزان 173 هزار تن  و 56 میلیون تن کیلومتر</t>
  </si>
  <si>
    <t>عدم بارگیری كانتينر از بندرعباس به ابومسلم</t>
  </si>
  <si>
    <t>کاهش بارگیری  سیمان از  شهيد مطهري به مقاصد به میزان 147 هزار تن  و 23 میلیون تن کیلومتر</t>
  </si>
  <si>
    <t>عدم بارگیری كانتينر از بندرعباس به حسن آباد/ريز</t>
  </si>
  <si>
    <t>عدم بارگیری زغال سنگ و:. از بندرعباس به مومن آباد</t>
  </si>
  <si>
    <t>عدم بارگیری ته مانده برج اتمسفريک از کرمانشاه به بندرعباس</t>
  </si>
  <si>
    <t>عدم بارگیری روغن خوراكي از بندرعباس به نيك پسندي</t>
  </si>
  <si>
    <t>عدم بارگیری غلات از بندر امام به اسفراين</t>
  </si>
  <si>
    <t>عدم بارگیری نفت سفید از بندرعباس به زاهدان</t>
  </si>
  <si>
    <t>کاهش بارگیری مواد معدني از چغارت به زرين شهر</t>
  </si>
  <si>
    <t>کاهش بارگیری مواد معدني از چادرملو به حسن آباد/ريز</t>
  </si>
  <si>
    <t>کاهش بارگیری مواد معدني از گل گهر به حسن آباد/ريز</t>
  </si>
  <si>
    <t>کاهش بارگیری سيمان از دیزیچه/چاریسه به بندرعباس</t>
  </si>
  <si>
    <t>کاهش بارگیری مازوت از ري به نكا</t>
  </si>
  <si>
    <t>کاهش بارگیری مواد معدني از سه چاهون به چغارت</t>
  </si>
  <si>
    <t>کاهش بارگیری مواد معدني از ده بيد-خرم بيد-صفاشهر به زرين شهر</t>
  </si>
  <si>
    <t>کاهش بارگیری مواد معدني از سنگان به زرين شهر</t>
  </si>
  <si>
    <t>کاهش بارگیری آهن آلات از مياندشت به بندر امام</t>
  </si>
  <si>
    <t>کاهش بارگیری مازوت از تبريز به كهندژ</t>
  </si>
  <si>
    <t>کاهش بارگیری مواد معدني از بيشه در به زرين شهر</t>
  </si>
  <si>
    <t>کاهش بارگیری خاك/ شن/ ماسه از لوشان به رشت</t>
  </si>
  <si>
    <t>کاهش بارگیری مواد معدني از تزرج به زرين شهر</t>
  </si>
  <si>
    <t>کاهش بارگیری مواد معدني از سنگان به اسفراين</t>
  </si>
  <si>
    <t>کاهش بارگیری كانتينر از سربندر به بندر امام</t>
  </si>
  <si>
    <t>کاهش بارگیری آهن آلات از حسن آباد/ريز به بندرعباس</t>
  </si>
  <si>
    <t>کاهش بارگیری آهن آلات از حسن آباد/ريز به تپه سفيد</t>
  </si>
  <si>
    <t>کاهش بارگیری غلات از بندر امام به هشتگرد</t>
  </si>
  <si>
    <t>کاهش بارگیری مازوت از بندرعباس به شهيد مطهري</t>
  </si>
  <si>
    <t>کاهش بارگیری آهن آلات از بندرعباس به فيروزه</t>
  </si>
  <si>
    <t>کاهش بارگیری دانه هاي نباتي از بندر امام به مياندره</t>
  </si>
  <si>
    <t>کاهش بارگیری مواد معدني از رازي به سهلان</t>
  </si>
  <si>
    <t>کاهش بارگیری كود شيميايي از سرخس تركمنستان به بندرعباس</t>
  </si>
  <si>
    <t>کاهش بارگیری غلات از بندرعباس به كردان</t>
  </si>
  <si>
    <t>کاهش بارگیری كانتينر از مهاباد-آذربايجان به بندرعباس</t>
  </si>
  <si>
    <t>کاهش بارگیری مازوت از سمنگان به ماهشهر</t>
  </si>
  <si>
    <t>کاهش بارگیری زغال سنگ و:. از زرند به زرين شهر</t>
  </si>
  <si>
    <t>کاهش بارگیری مازوت از آب نيل به بندرعباس</t>
  </si>
  <si>
    <t>کاهش بارگیری غلات از بندر امام به رباط كريم</t>
  </si>
  <si>
    <t>کاهش بارگیری غلات از بندرعباس به كرج</t>
  </si>
  <si>
    <t>کاهش بارگیری غلات از بندر امام به تربت</t>
  </si>
  <si>
    <t>کاهش بارگیری زغال سنگ و:. از بندر امام به زرين شهر</t>
  </si>
  <si>
    <t>کاهش بارگیری شمش آلومينيوم از رازي به جاجرم</t>
  </si>
  <si>
    <t>کاهش بارگیری مواد معدني از پورمند/جلال آباد به فولاد خراسان</t>
  </si>
  <si>
    <t>کاهش بارگیری كانتينر از اپرين به بندرعباس</t>
  </si>
  <si>
    <t>کاهش بارگیری سيمان از گل گهر به بندرعباس</t>
  </si>
  <si>
    <t>کاهش بارگیری شيشه از اردكان به رازي</t>
  </si>
  <si>
    <t>کاهش بارگیری مواد معدني از پورمند/جلال آباد به زرين شهر</t>
  </si>
  <si>
    <t>کاهش بارگیری غلات از بندرعباس به رباط كريم</t>
  </si>
  <si>
    <t>کاهش بارگیری سيمان از ازادور به اپرين</t>
  </si>
  <si>
    <t>کاهش بارگیری مازوت از سمنگان به كهندژ</t>
  </si>
  <si>
    <t>کاهش بارگیری كانتينر از اصفهان به بندرعباس</t>
  </si>
  <si>
    <t>کاهش بارگیری آهن آلات از زرين شهر به نقده</t>
  </si>
  <si>
    <t>کاهش بارگیری آهن آلات از سيرجان به بندرعباس</t>
  </si>
  <si>
    <t>کاهش بارگیری غلات از بندر امام به گرگان</t>
  </si>
  <si>
    <t>کاهش بارگیری مواد معدني از گل گهر به زرين شهر</t>
  </si>
  <si>
    <t>کاهش بارگیری دانه هاي نباتي از بندر امام به کرمانشاه</t>
  </si>
  <si>
    <t>کاهش بارگیری آهن آلات از حسن آباد/ريز به كهندژ</t>
  </si>
  <si>
    <t>کاهش بارگیری مواد معدني از پورمند/جلال آباد به حسن آباد/ريز</t>
  </si>
  <si>
    <t>کاهش بارگیری آهن آلات از بندرعباس به سرخس تركمنستان</t>
  </si>
  <si>
    <t>کاهش بارگیری كانتينر از بندرعباس به سرخس تركمنستان</t>
  </si>
  <si>
    <t>کاهش بارگیری مواد معدني از سنگان به ميانه</t>
  </si>
  <si>
    <t>کاهش بارگیری گوگرد خام از گنبدلي به بندرعباس</t>
  </si>
  <si>
    <t>کاهش بارگیری غلات از بندرعباس به اصفهان</t>
  </si>
  <si>
    <t>کاهش بارگیری غلات از بندر امام به تبريز</t>
  </si>
  <si>
    <t>کاهش بارگیری زغال سنگ و:. از بندر امير آباد به زرين شهر</t>
  </si>
  <si>
    <t>کاهش بارگیری آهن آلات از زرند به بندرعباس</t>
  </si>
  <si>
    <t>کاهش بارگیری اتومبيل از لشکري به ابومسلم</t>
  </si>
  <si>
    <t>کاهش بارگیری مازوت كم سولفور از سمنگان به بندرعباس</t>
  </si>
  <si>
    <t>کاهش بارگیری روغن صنعتي از بندر امام به ري</t>
  </si>
  <si>
    <t>کاهش بارگیری كانتينر از بندرعباس به سهلان</t>
  </si>
  <si>
    <t>کاهش بارگیری غلات از بندرعباس به كرمان</t>
  </si>
  <si>
    <t>کاهش بارگیری اتومبيل از ابومسلم به لشکري</t>
  </si>
  <si>
    <t>کاهش بارگیری انواع نخ از بندرعباس به سرخس تركمنستان</t>
  </si>
  <si>
    <t>کاهش بارگیری غلات از بندر امام به ميانه</t>
  </si>
  <si>
    <t>جدول شماره 57 - تعداد ايستگاههاي ادارات كل مناطق در سال 1401</t>
  </si>
  <si>
    <t>ادارات كل مناطق</t>
  </si>
  <si>
    <t>گار</t>
  </si>
  <si>
    <t>درجه يك</t>
  </si>
  <si>
    <t>درجه 2</t>
  </si>
  <si>
    <t>درجه 3</t>
  </si>
  <si>
    <t>بسته</t>
  </si>
  <si>
    <t>باز</t>
  </si>
  <si>
    <t xml:space="preserve">ماخذ : اداره کل سیر و حرکت </t>
  </si>
  <si>
    <t>توضيح: ايستگاههاي بسته جزء ايستگاههاي درجه 3 نمی باشد.</t>
  </si>
  <si>
    <t>جدول شماره 32 - تعداد مسافر جابجا شده از مبداء به تفكيك ماه و مناطق در سال 1402</t>
  </si>
  <si>
    <t xml:space="preserve">زاگرس </t>
  </si>
  <si>
    <t>تعداد بليط رايگان و قبوض صادره در قطار ، درتعداد مسافر ادارات كل مناطق مستتر مي باشد.</t>
  </si>
  <si>
    <t>ماخذ : اداره کل برنامه ریزی و نظارت بر خدمات مسافری</t>
  </si>
  <si>
    <t>ماه</t>
  </si>
  <si>
    <t>01.جنوب</t>
  </si>
  <si>
    <t>02.لرستان</t>
  </si>
  <si>
    <t>03.اراك</t>
  </si>
  <si>
    <t>04.تهران</t>
  </si>
  <si>
    <t>05.شمال</t>
  </si>
  <si>
    <t>06.شمالشرق1</t>
  </si>
  <si>
    <t>07.شمالشرق2</t>
  </si>
  <si>
    <t>08.خراسان</t>
  </si>
  <si>
    <t>09.شمالغرب</t>
  </si>
  <si>
    <t>10.آذربايجان</t>
  </si>
  <si>
    <t>11.اصفهان</t>
  </si>
  <si>
    <t>12.يزد</t>
  </si>
  <si>
    <t>13.كرمان</t>
  </si>
  <si>
    <t>14.جنوبشرق</t>
  </si>
  <si>
    <t>15.هرمزگان</t>
  </si>
  <si>
    <t>16.شرق</t>
  </si>
  <si>
    <t>17.قم</t>
  </si>
  <si>
    <t>18.زاگرس</t>
  </si>
  <si>
    <t>19.فارس</t>
  </si>
  <si>
    <t>20.غرب</t>
  </si>
  <si>
    <t>21.شمال2</t>
  </si>
  <si>
    <t>Grand Total</t>
  </si>
  <si>
    <t>جدول شماره 33 - تعداد مسافر درسال 1402 و مقايسه آن با سال قبل</t>
  </si>
  <si>
    <t>جدول شماره 34 - نفركيلومترمسافر به تفكيك ماه و مناطق در سال 1402 (مبدا  حركت ناحيه)</t>
  </si>
  <si>
    <t>جدول شماره 35 - نفركيلومترمسافر مناطق درسال 1402 و مقايسه آن با سال قبل</t>
  </si>
  <si>
    <t>جدول شماره 36   -تعداد مسافر جابه جا شده  به تفکیک محور در سال 1402</t>
  </si>
  <si>
    <t xml:space="preserve">محور </t>
  </si>
  <si>
    <t>جنوب (خوزستان)</t>
  </si>
  <si>
    <t>شمال (گلستان)</t>
  </si>
  <si>
    <t>جنوبشرق (هرمزگان)</t>
  </si>
  <si>
    <t>قطارهاي محلي</t>
  </si>
  <si>
    <t>بین المللی</t>
  </si>
  <si>
    <t>بين المللي</t>
  </si>
  <si>
    <t>گردشگري</t>
  </si>
  <si>
    <t>ماخذ: اداره کل برنامه ريزي و نظارت بر خدمات مسافري</t>
  </si>
  <si>
    <t>جدول شماره 37   -نفر کیلومتر مسافر جابه جا شده  به تفکیک محور در سال 1402          (ارقام به هزار)</t>
  </si>
  <si>
    <t>جدول شماره 38- تعداد مسافر جابه جا شده  به تفکیک ادارات کل مناطق و  نوع قطار در سال 1402</t>
  </si>
  <si>
    <t xml:space="preserve">نوع قطار </t>
  </si>
  <si>
    <t>بین شهری</t>
  </si>
  <si>
    <t>حومه ای/ محلی</t>
  </si>
  <si>
    <t>جدول شماره 39- نفر کیلومتر مسافر جابه جا شده  به تفکیک ادارات کل مناطق و  نوع قطار در سال 1402  (ارقام به هزار)</t>
  </si>
  <si>
    <t>جدول شماره 40 - آمار صندلی ایجادی به تفکیک محور در سال 1402</t>
  </si>
  <si>
    <t xml:space="preserve">            محور
ماه           </t>
  </si>
  <si>
    <t>جنوب
(خوزستان)</t>
  </si>
  <si>
    <t>شمال 
(گلستان)</t>
  </si>
  <si>
    <t>جنوبشرق
(هرمزگان)</t>
  </si>
  <si>
    <t>قطارهای حومه ای</t>
  </si>
  <si>
    <t>قطارهای بین المللی</t>
  </si>
  <si>
    <r>
      <t xml:space="preserve">                                              جدول شماره 41- آمار صندلی کیلومتر به تفکیک محور در سال 1402                                                                </t>
    </r>
    <r>
      <rPr>
        <b/>
        <sz val="11"/>
        <color theme="1"/>
        <rFont val="B Nazanin"/>
        <charset val="178"/>
      </rPr>
      <t xml:space="preserve">ارقام به هزار     </t>
    </r>
    <r>
      <rPr>
        <b/>
        <sz val="14"/>
        <color theme="1"/>
        <rFont val="B Nazanin"/>
        <charset val="178"/>
      </rPr>
      <t xml:space="preserve">               </t>
    </r>
  </si>
  <si>
    <t>جدول شماره42- آمار عملکرد جابجایی مسافر ، صندلی ایجادی و ضریب اشغال به تفکیک محور سال1402</t>
  </si>
  <si>
    <t>محور</t>
  </si>
  <si>
    <t>صندلی ایجاد شده</t>
  </si>
  <si>
    <t>مسافر جا به جا شده</t>
  </si>
  <si>
    <t>ضریب اشغال ایستا (درصد)</t>
  </si>
  <si>
    <t>جمع بین شهری</t>
  </si>
  <si>
    <t>قطارهای محلی</t>
  </si>
  <si>
    <t>جدول شماره43- آمار عملکرد جابجایی مسافر ،صندلی ایجادی و ضریب اشغال به تفکیک ماه سال1402</t>
  </si>
  <si>
    <t>جدول شماره44- آمار عملکردنفرکیلومتر ،صندلی کیلومتر و ضریب اشغال به تفکیک محور سال1402</t>
  </si>
  <si>
    <t>ارقام به هزار</t>
  </si>
  <si>
    <t>صندلی کیلومتر</t>
  </si>
  <si>
    <t>نفر کیلومتر</t>
  </si>
  <si>
    <t>ضریب اشغال پویا (درصد)</t>
  </si>
  <si>
    <t>جدول شماره45-آمار عملکرد نفرکیلومتر، صندلی کیلومتر و ضریب اشغال به تفکیک ماه سال1402</t>
  </si>
  <si>
    <t>جدول شماره 46- زمان و سرعت سیر برنامه ای و واقعی و میانگین تاخیرات به تفکیک محور(بین شهری) در سالهای 1402 - 1401</t>
  </si>
  <si>
    <t>زمان سیر برنامه ای 
(ساعت)</t>
  </si>
  <si>
    <t>زمان سیر واقعی 
(ساعت)</t>
  </si>
  <si>
    <t>میانگین تاخیرات
(دقیقه)</t>
  </si>
  <si>
    <t>سرعت سیر برنامه ای 
(km/h)</t>
  </si>
  <si>
    <t>سرعت سیر واقعی 
(km/h)</t>
  </si>
  <si>
    <t>سال1402</t>
  </si>
  <si>
    <t>سال1401</t>
  </si>
  <si>
    <t>آذربایجان</t>
  </si>
  <si>
    <t>کل</t>
  </si>
  <si>
    <t>اهم نقاط قوت عملکرد جابجایی مسافر در سال 1402</t>
  </si>
  <si>
    <t>ظرفیت ایجادی ناشی از حذف قطارهای مسافری بعلت کاهش آماده بکاری نیروی کشش افزایش ضریب اشغال مسافر بوده است.</t>
  </si>
  <si>
    <t xml:space="preserve">راه اندازی مسیرهای جدید تهران-خاوران، زاهدان-خاش، تهران-سنندج و قطار بین المللی کربلا  </t>
  </si>
  <si>
    <t>ورود  13 واگن  نو  و   ورود 45 واگن بازسازی  شده  به شبکه حمل و نقل  ریلی مسافری</t>
  </si>
  <si>
    <t>اهم نقاط قابل بهبود مسافر در سال 1402</t>
  </si>
  <si>
    <t xml:space="preserve">حذف    2614  سیر  از قطارهای  بین شهری   در طی سال 1402  بعلت کمبود نیروی کشش </t>
  </si>
  <si>
    <t>ثبت مکانیزه آمار جابجایی مسافر حومه ای</t>
  </si>
  <si>
    <t>جدول شماره 100 - تعداد مسافر و نفرکيلومتر به تفکيک شرکتها در سال 1402</t>
  </si>
  <si>
    <t>نام شرکت</t>
  </si>
  <si>
    <t>نفر کيلومتر پيموده شده</t>
  </si>
  <si>
    <t xml:space="preserve">حمل و نقل ریلی  رجاء </t>
  </si>
  <si>
    <t>راه آهن</t>
  </si>
  <si>
    <t>بن ريل(راه آهن بنياد)</t>
  </si>
  <si>
    <t>جوپار</t>
  </si>
  <si>
    <t>مهتاب سير جم</t>
  </si>
  <si>
    <t>ريل ترابر سبا</t>
  </si>
  <si>
    <t>ريل پرداز نوآفرين</t>
  </si>
  <si>
    <t>ريل سير كوثر</t>
  </si>
  <si>
    <t>نورالرضا</t>
  </si>
  <si>
    <t>پارس لاریم</t>
  </si>
  <si>
    <t xml:space="preserve">ماخذ: اداره کل برنامه ریزی و نظارت بر خدمات مسافری </t>
  </si>
  <si>
    <t>جدول شماره 101  - خلاصه عملكرد جابجايي مسافر  در سال 1402</t>
  </si>
  <si>
    <t>سایر شرکتها</t>
  </si>
  <si>
    <t>شرکت رجاء</t>
  </si>
  <si>
    <t xml:space="preserve">مسافر </t>
  </si>
  <si>
    <t>هزار</t>
  </si>
  <si>
    <t>صندلي ايجاد شده</t>
  </si>
  <si>
    <t>نفر کيلومتر</t>
  </si>
  <si>
    <t>ميليون</t>
  </si>
  <si>
    <t xml:space="preserve">صندلي كيلومتر </t>
  </si>
  <si>
    <t>تعداد كل سير واقعي قطارها</t>
  </si>
  <si>
    <t>سیر</t>
  </si>
  <si>
    <t>ضريب اشغال ايستا</t>
  </si>
  <si>
    <t>درصد</t>
  </si>
  <si>
    <t>جدول شماره 102 - تعداد مسافر  به تفکيک شرکتها  و نوع قطار در سال 1402</t>
  </si>
  <si>
    <t>ردیف</t>
  </si>
  <si>
    <t>شرکت- نوع قطار</t>
  </si>
  <si>
    <t>جدول شماره 103- نفر کیلومتر مسافر  به تفکيک شرکتها  و نوع قطار در سال 1402    ارقام به هزار</t>
  </si>
  <si>
    <t>حمل و نقل ریلی رجا</t>
  </si>
  <si>
    <t>جدول شماره 104- صندلی ایجادی به تفکیک شرکت ها و نوع قطار در سال 1402</t>
  </si>
  <si>
    <t>شرکت - نوع قطار</t>
  </si>
  <si>
    <t>بن ریل (راه آهن بنیاد)</t>
  </si>
  <si>
    <t>مهتاب سیر جم</t>
  </si>
  <si>
    <t>ریل ترابر سبا</t>
  </si>
  <si>
    <t>ریل پرداز نوآفرین</t>
  </si>
  <si>
    <t>رعد تبریز</t>
  </si>
  <si>
    <t xml:space="preserve">پارس لاریم </t>
  </si>
  <si>
    <r>
      <t xml:space="preserve">جدول شماره 105- صندلی کیلومتر به تفکیک شرکت ها و نوع قطار در سال 1402             </t>
    </r>
    <r>
      <rPr>
        <b/>
        <sz val="10"/>
        <color theme="1"/>
        <rFont val="B Nazanin"/>
        <charset val="178"/>
      </rPr>
      <t xml:space="preserve">  (ارقام به هزار)</t>
    </r>
  </si>
  <si>
    <t>جدول شماره 106-  تعداد سیر قطار به تفکیک نوع قطار و شرکت در سال 1402</t>
  </si>
  <si>
    <t>بين شهري</t>
  </si>
  <si>
    <t>** در سال 1401 اطلاعات تناژ و تن کیلومتر ناخالص صرفا باری در نظر گرفته شده است.</t>
  </si>
  <si>
    <t>* از سال 1399عبارت "آماده به کار " و " کل" به ترتیب جایگزین " در سرویس " و " در گردش"  شده است.</t>
  </si>
  <si>
    <t>تعداد واگن هاي باري کل *</t>
  </si>
  <si>
    <t>میانگین 1402</t>
  </si>
  <si>
    <t xml:space="preserve">در سالهاي 1392 لغايت 1402 </t>
  </si>
  <si>
    <t>ميانگين تعداد لكوموتيو آماده بکار</t>
  </si>
  <si>
    <t xml:space="preserve">ماخذ  :  اداره كل نيروي كشش و اداره كل واگنها  
</t>
  </si>
  <si>
    <t>كاركرد به تن</t>
  </si>
  <si>
    <t>جرثقيلها :</t>
  </si>
  <si>
    <t>روغن 40 دیزل</t>
  </si>
  <si>
    <r>
      <t xml:space="preserve">مصرف  روغن </t>
    </r>
    <r>
      <rPr>
        <b/>
        <sz val="8"/>
        <rFont val="B Nazanin"/>
        <charset val="178"/>
      </rPr>
      <t>(ليتر)</t>
    </r>
  </si>
  <si>
    <t>مصرف روغن</t>
  </si>
  <si>
    <r>
      <t xml:space="preserve">مسافت پيموده شده          </t>
    </r>
    <r>
      <rPr>
        <b/>
        <sz val="8"/>
        <rFont val="B Nazanin"/>
        <charset val="178"/>
      </rPr>
      <t>(كيلومتراژ)</t>
    </r>
  </si>
  <si>
    <t>لكوموتيوهاي مانوری :</t>
  </si>
  <si>
    <t>لكوموتيوهاي اصلی :</t>
  </si>
  <si>
    <t>درصد تغييرات</t>
  </si>
  <si>
    <t>جدول شماره 48 - وضعيت مصرف روانکاري و مسافت پيموده شده وسائط نقليه درسال 1402 و مقايسه آن با سال قبل</t>
  </si>
  <si>
    <t xml:space="preserve"> لکوموتیو کرج</t>
  </si>
  <si>
    <t xml:space="preserve"> کرمان</t>
  </si>
  <si>
    <t xml:space="preserve"> تهران</t>
  </si>
  <si>
    <t>مناطق</t>
  </si>
  <si>
    <t>(هزار ليتر)</t>
  </si>
  <si>
    <t>*تعمیرات انجام شده در کارخانجات اساسی نیروی کشش</t>
  </si>
  <si>
    <t>بازسازي و سانحه ديده</t>
  </si>
  <si>
    <t xml:space="preserve">تعميرات جاري        </t>
  </si>
  <si>
    <t xml:space="preserve">تعميرات ويژه        </t>
  </si>
  <si>
    <t xml:space="preserve">تعميرات اساسي    </t>
  </si>
  <si>
    <t>واگنهاي باري :</t>
  </si>
  <si>
    <t xml:space="preserve">بازديد ساليانه      </t>
  </si>
  <si>
    <t xml:space="preserve">بازديد  مقرره     </t>
  </si>
  <si>
    <t xml:space="preserve">تعميرات اساسي *    </t>
  </si>
  <si>
    <t>لكوموتيوهاي ديزل الكتريك :</t>
  </si>
  <si>
    <t>درصد تغییرات</t>
  </si>
  <si>
    <t xml:space="preserve">جدول شماره 51 - تعداد تعميرات انجام شده وسائط نقليه در سال 1402 و مقايسه آن با سال قبل </t>
  </si>
  <si>
    <t xml:space="preserve">ماخذ :  اداره كل تدارکات و پشتیبانی (سیستم مکانیزه انبارها )
</t>
  </si>
  <si>
    <t xml:space="preserve">جمع کل </t>
  </si>
  <si>
    <t xml:space="preserve">سایر مصارف </t>
  </si>
  <si>
    <t>مصارف استیم</t>
  </si>
  <si>
    <t xml:space="preserve">ماشین آلات مکانیزه ریلی </t>
  </si>
  <si>
    <t>موتورخانه و تاسیسات</t>
  </si>
  <si>
    <t xml:space="preserve">مصارف مولد </t>
  </si>
  <si>
    <t>خودکشش</t>
  </si>
  <si>
    <t>مصارف لکوموتیوها</t>
  </si>
  <si>
    <t>جمع قطعه در ناحيه شمال2</t>
  </si>
  <si>
    <t>جمع قطعه در ناحيه همدان</t>
  </si>
  <si>
    <t>جمع قطعه در ناحيه شمالشرق2</t>
  </si>
  <si>
    <t>جمع قطعه در ناحيه قم</t>
  </si>
  <si>
    <t>جمع قطعه در ناحيه زاگرس</t>
  </si>
  <si>
    <t>جمع قطعه در ناحيه فارس</t>
  </si>
  <si>
    <t>جمع قطعه در ناحيه كرمان</t>
  </si>
  <si>
    <t>جمع قطعه در ناحيه مخازن ري</t>
  </si>
  <si>
    <t>جمع قطعه در ناحيه يزد</t>
  </si>
  <si>
    <t>جمع قطعه در ناحيه هرمزگان</t>
  </si>
  <si>
    <t>در کتاب پارسال هم همدان درج شده در اصل همان غرب صحیح است</t>
  </si>
  <si>
    <t>جمع قطعه در ناحيه لرستان</t>
  </si>
  <si>
    <t>جمع قطعه در ناحيه شمالغرب</t>
  </si>
  <si>
    <t>جمع قطعه در ناحيه شمالشرق</t>
  </si>
  <si>
    <t xml:space="preserve">ماخذ :  اداره كل واگنها
</t>
  </si>
  <si>
    <t>جمع قطعه در ناحيه شمال</t>
  </si>
  <si>
    <t>جمع قطعه در ناحيه شرق</t>
  </si>
  <si>
    <t>جمع قطعه در ناحيه خراسان</t>
  </si>
  <si>
    <t xml:space="preserve">    شمال2</t>
  </si>
  <si>
    <t>جمع قطعه در ناحيه جنوبشرق</t>
  </si>
  <si>
    <t>جمع قطعه در ناحيه جنوب</t>
  </si>
  <si>
    <t xml:space="preserve">    شمالشرق2</t>
  </si>
  <si>
    <t>جمع قطعه در ناحيه تهران</t>
  </si>
  <si>
    <t xml:space="preserve">    قم</t>
  </si>
  <si>
    <t>جمع قطعه در ناحيه اصفهان</t>
  </si>
  <si>
    <t xml:space="preserve">    زاگرس</t>
  </si>
  <si>
    <t>جمع قطعه در ناحيه اراك</t>
  </si>
  <si>
    <t xml:space="preserve">    فارس</t>
  </si>
  <si>
    <t>جمع قطعه در ناحيه آذربايجان</t>
  </si>
  <si>
    <t xml:space="preserve">    كرمان</t>
  </si>
  <si>
    <t>ويژه</t>
  </si>
  <si>
    <t>جاري</t>
  </si>
  <si>
    <t>اساسي</t>
  </si>
  <si>
    <t>نيمه اساسي</t>
  </si>
  <si>
    <t>سانحه ديده</t>
  </si>
  <si>
    <t>نوع واگن</t>
  </si>
  <si>
    <t>ري</t>
  </si>
  <si>
    <t xml:space="preserve">    يزد</t>
  </si>
  <si>
    <t xml:space="preserve">    هرمزگان</t>
  </si>
  <si>
    <t xml:space="preserve">    لرستان</t>
  </si>
  <si>
    <t xml:space="preserve">    شمالغرب</t>
  </si>
  <si>
    <t>مخازن ري</t>
  </si>
  <si>
    <t xml:space="preserve">    شمالشرق</t>
  </si>
  <si>
    <t xml:space="preserve">    شمال</t>
  </si>
  <si>
    <t xml:space="preserve">    شرق</t>
  </si>
  <si>
    <t xml:space="preserve">    خراسان</t>
  </si>
  <si>
    <t xml:space="preserve">    جنوبشرق</t>
  </si>
  <si>
    <t xml:space="preserve">    جنوب</t>
  </si>
  <si>
    <t xml:space="preserve">    تهران</t>
  </si>
  <si>
    <t xml:space="preserve">    اصفهان</t>
  </si>
  <si>
    <t xml:space="preserve">    اراك</t>
  </si>
  <si>
    <t xml:space="preserve">    آذربايجان</t>
  </si>
  <si>
    <t>نصب قفل کانتینر</t>
  </si>
  <si>
    <t>تعمیر اساسی</t>
  </si>
  <si>
    <t>تبديل قلاب زنجيري به اتوماتيك</t>
  </si>
  <si>
    <t>تبدیل قلاب ویلسون به قلاب روسی</t>
  </si>
  <si>
    <t>بازسازی بدنه واگن</t>
  </si>
  <si>
    <t>بازسازی</t>
  </si>
  <si>
    <t>اصلاح و بازسازی سیستم ترمز دستی</t>
  </si>
  <si>
    <t>اصلاح سيستم ترمز</t>
  </si>
  <si>
    <t>جاری</t>
  </si>
  <si>
    <t xml:space="preserve">باز سازي و سانحه دیده شده </t>
  </si>
  <si>
    <t>نیمه اساسی</t>
  </si>
  <si>
    <t>جدول شماره 52 - ميزان تعميرات انجام شده واگنهاي باري در سال1402</t>
  </si>
  <si>
    <t>ماخذ : اداره كل خط وسازه هاي فني</t>
  </si>
  <si>
    <t>جمع کل درزینهای سبک موجود در خطوط شبکه ریلی راه آهن ج.ا.ا.</t>
  </si>
  <si>
    <t>تعداد ساير درزينهاي (بلا استفاده ، متوقف ، اسقاط و فرسوده ، در دست بازسازي) متعلق به شرکت تراورس مستقر در مرکز و برخي از ادارات کل مناطق</t>
  </si>
  <si>
    <r>
      <t>تعداد</t>
    </r>
    <r>
      <rPr>
        <u/>
        <sz val="9"/>
        <color indexed="8"/>
        <rFont val="B Nazanin"/>
        <charset val="178"/>
      </rPr>
      <t xml:space="preserve"> 6</t>
    </r>
    <r>
      <rPr>
        <sz val="9"/>
        <color indexed="8"/>
        <rFont val="B Nazanin"/>
        <charset val="178"/>
      </rPr>
      <t xml:space="preserve"> دستگاه درزين وانتي اداره كل واگنها جهت بهره برداري در پروژه قطار امداد و نجات ادارات كل مناطق راه آهن (مناطق : لرستان - جنوبشرق - یزد - شمال1 - شمالشرق1 - زاگرس) </t>
    </r>
  </si>
  <si>
    <r>
      <t xml:space="preserve">تعداد </t>
    </r>
    <r>
      <rPr>
        <u/>
        <sz val="10"/>
        <color indexed="8"/>
        <rFont val="B Nazanin"/>
        <charset val="178"/>
      </rPr>
      <t>3</t>
    </r>
    <r>
      <rPr>
        <sz val="10"/>
        <color indexed="8"/>
        <rFont val="B Nazanin"/>
        <charset val="178"/>
      </rPr>
      <t xml:space="preserve"> دستگاه درزين خط برقي شبكه بالاسري - مستقر در اداره كل راه آهن آذربايجان</t>
    </r>
  </si>
  <si>
    <t xml:space="preserve"> تعداد يك درزين شركت سامان صنعت فلز + یک درزین شرکت جنرال مکانیک + دو درزین شرکت نراورس(جوش درز ریل) عدم گزارش عملكرد و محل استقرار</t>
  </si>
  <si>
    <r>
      <t xml:space="preserve">تعداد </t>
    </r>
    <r>
      <rPr>
        <u/>
        <sz val="10"/>
        <color indexed="8"/>
        <rFont val="B Nazanin"/>
        <charset val="178"/>
      </rPr>
      <t>2</t>
    </r>
    <r>
      <rPr>
        <sz val="10"/>
        <color indexed="8"/>
        <rFont val="B Nazanin"/>
        <charset val="178"/>
      </rPr>
      <t xml:space="preserve"> دستگاه درزين وانتي متعلق به شرکت مهاران (وابسته به اداره کل ارتباطات و علائم الکتريکي) مستقر در طول خطوط ريلي راه آهن </t>
    </r>
  </si>
  <si>
    <t>جمع درزينهاي سبک</t>
  </si>
  <si>
    <t>شمالشرق(2)</t>
  </si>
  <si>
    <t>شمالشرق(1)</t>
  </si>
  <si>
    <t>شمال (2)</t>
  </si>
  <si>
    <t>شمال (1)</t>
  </si>
  <si>
    <t>اسقاط</t>
  </si>
  <si>
    <t>متوقف</t>
  </si>
  <si>
    <t>فعال</t>
  </si>
  <si>
    <t>ساير انواع</t>
  </si>
  <si>
    <t>وانتی</t>
  </si>
  <si>
    <t>مسافری</t>
  </si>
  <si>
    <t>بنزینی</t>
  </si>
  <si>
    <t>دیزلی</t>
  </si>
  <si>
    <t>تعداد درزینهای سایر شرکتهای خصوصی</t>
  </si>
  <si>
    <t xml:space="preserve"> راه آهن</t>
  </si>
  <si>
    <t xml:space="preserve"> شركت تراورس</t>
  </si>
  <si>
    <t>تعداد و نوع درزین</t>
  </si>
  <si>
    <t>جدول شماره 65 - تعداد كل درزين ها در سال 1402</t>
  </si>
  <si>
    <t>اطلاعات فوق با آمار ارسالی سال قبل مغایرت دارد آیا این آمار صحیح و نهایی می باشد؟</t>
  </si>
  <si>
    <t xml:space="preserve">ماخذ :  اداره كل نيروي كشش </t>
  </si>
  <si>
    <t>اصلی</t>
  </si>
  <si>
    <t>چینی پرس</t>
  </si>
  <si>
    <t>اصلي</t>
  </si>
  <si>
    <t>ریل پرداز MAP24</t>
  </si>
  <si>
    <t>مپنا MAP24</t>
  </si>
  <si>
    <t>داونپورت (سایر )</t>
  </si>
  <si>
    <t>راهوار MAP24</t>
  </si>
  <si>
    <t>آلستوم مپنا</t>
  </si>
  <si>
    <t>CDN10(البرز)</t>
  </si>
  <si>
    <r>
      <rPr>
        <b/>
        <sz val="11"/>
        <rFont val="Arial"/>
        <family val="2"/>
      </rPr>
      <t>DE</t>
    </r>
    <r>
      <rPr>
        <b/>
        <sz val="11"/>
        <rFont val="B Nazanin"/>
        <charset val="178"/>
      </rPr>
      <t>2100</t>
    </r>
  </si>
  <si>
    <r>
      <rPr>
        <b/>
        <sz val="11"/>
        <rFont val="Arial"/>
        <family val="2"/>
      </rPr>
      <t>DE</t>
    </r>
    <r>
      <rPr>
        <b/>
        <sz val="11"/>
        <rFont val="B Nazanin"/>
        <charset val="178"/>
      </rPr>
      <t>626</t>
    </r>
  </si>
  <si>
    <r>
      <rPr>
        <b/>
        <sz val="11"/>
        <rFont val="Arial"/>
        <family val="2"/>
      </rPr>
      <t>ER</t>
    </r>
    <r>
      <rPr>
        <b/>
        <sz val="11"/>
        <rFont val="B Nazanin"/>
        <charset val="178"/>
      </rPr>
      <t>24</t>
    </r>
    <r>
      <rPr>
        <b/>
        <sz val="11"/>
        <rFont val="Arial"/>
        <family val="2"/>
      </rPr>
      <t>PC</t>
    </r>
  </si>
  <si>
    <t>DE626</t>
  </si>
  <si>
    <t>فولاد MAP24</t>
  </si>
  <si>
    <t>روماني اجاره اي</t>
  </si>
  <si>
    <t>DF&amp;DI(سيوان ترابر)</t>
  </si>
  <si>
    <t>ER24PC</t>
  </si>
  <si>
    <t xml:space="preserve">DF8BI2( گهر ترابر سیرجان) </t>
  </si>
  <si>
    <t>DF8BI1 (راه آهن کشش)</t>
  </si>
  <si>
    <t>راهوار GT26</t>
  </si>
  <si>
    <r>
      <rPr>
        <b/>
        <sz val="11"/>
        <rFont val="Arial"/>
        <family val="2"/>
      </rPr>
      <t>DF</t>
    </r>
    <r>
      <rPr>
        <b/>
        <sz val="11"/>
        <rFont val="B Nazanin"/>
        <charset val="178"/>
      </rPr>
      <t>8</t>
    </r>
    <r>
      <rPr>
        <b/>
        <sz val="11"/>
        <rFont val="Arial"/>
        <family val="2"/>
      </rPr>
      <t>BI</t>
    </r>
    <r>
      <rPr>
        <b/>
        <sz val="11"/>
        <rFont val="B Nazanin"/>
        <charset val="178"/>
      </rPr>
      <t>(1,2)</t>
    </r>
  </si>
  <si>
    <t>گهر ترابر GT26</t>
  </si>
  <si>
    <r>
      <rPr>
        <b/>
        <sz val="11"/>
        <rFont val="Arial"/>
        <family val="2"/>
      </rPr>
      <t>GT</t>
    </r>
    <r>
      <rPr>
        <b/>
        <sz val="11"/>
        <rFont val="B Nazanin"/>
        <charset val="178"/>
      </rPr>
      <t>-26</t>
    </r>
    <r>
      <rPr>
        <b/>
        <sz val="11"/>
        <rFont val="Arial"/>
        <family val="2"/>
      </rPr>
      <t>CW-p</t>
    </r>
    <r>
      <rPr>
        <b/>
        <sz val="11"/>
        <rFont val="B Nazanin"/>
        <charset val="178"/>
      </rPr>
      <t xml:space="preserve"> </t>
    </r>
  </si>
  <si>
    <t>الوند GT26</t>
  </si>
  <si>
    <t>البرز GT26</t>
  </si>
  <si>
    <r>
      <rPr>
        <b/>
        <sz val="11"/>
        <rFont val="Arial"/>
        <family val="2"/>
      </rPr>
      <t>AD</t>
    </r>
    <r>
      <rPr>
        <b/>
        <sz val="11"/>
        <rFont val="B Nazanin"/>
        <charset val="178"/>
      </rPr>
      <t>43</t>
    </r>
    <r>
      <rPr>
        <b/>
        <sz val="11"/>
        <rFont val="Arial"/>
        <family val="2"/>
      </rPr>
      <t>C</t>
    </r>
  </si>
  <si>
    <t>AD43C</t>
  </si>
  <si>
    <t>GE</t>
  </si>
  <si>
    <r>
      <rPr>
        <b/>
        <sz val="11"/>
        <rFont val="Arial"/>
        <family val="2"/>
      </rPr>
      <t>RC</t>
    </r>
    <r>
      <rPr>
        <b/>
        <sz val="11"/>
        <rFont val="B Nazanin"/>
        <charset val="178"/>
      </rPr>
      <t>-4</t>
    </r>
  </si>
  <si>
    <t>RC-4</t>
  </si>
  <si>
    <t>GT26CW-MP</t>
  </si>
  <si>
    <t xml:space="preserve">GT-26CW </t>
  </si>
  <si>
    <r>
      <rPr>
        <b/>
        <sz val="11"/>
        <rFont val="Arial"/>
        <family val="2"/>
      </rPr>
      <t>GT</t>
    </r>
    <r>
      <rPr>
        <b/>
        <sz val="11"/>
        <rFont val="B Nazanin"/>
        <charset val="178"/>
      </rPr>
      <t>-26</t>
    </r>
    <r>
      <rPr>
        <b/>
        <sz val="11"/>
        <rFont val="Arial"/>
        <family val="2"/>
      </rPr>
      <t>CW</t>
    </r>
    <r>
      <rPr>
        <b/>
        <sz val="11"/>
        <rFont val="B Nazanin"/>
        <charset val="178"/>
      </rPr>
      <t xml:space="preserve"> </t>
    </r>
  </si>
  <si>
    <t>G-22</t>
  </si>
  <si>
    <t>مانوري</t>
  </si>
  <si>
    <r>
      <rPr>
        <b/>
        <sz val="11"/>
        <rFont val="Arial"/>
        <family val="2"/>
      </rPr>
      <t>G</t>
    </r>
    <r>
      <rPr>
        <b/>
        <sz val="11"/>
        <rFont val="B Nazanin"/>
        <charset val="178"/>
      </rPr>
      <t>-22</t>
    </r>
  </si>
  <si>
    <t>G-16</t>
  </si>
  <si>
    <r>
      <rPr>
        <b/>
        <sz val="11"/>
        <rFont val="Arial"/>
        <family val="2"/>
      </rPr>
      <t>G</t>
    </r>
    <r>
      <rPr>
        <b/>
        <sz val="11"/>
        <rFont val="B Nazanin"/>
        <charset val="178"/>
      </rPr>
      <t>-16</t>
    </r>
  </si>
  <si>
    <t>HD-10</t>
  </si>
  <si>
    <r>
      <rPr>
        <b/>
        <sz val="11"/>
        <rFont val="Arial"/>
        <family val="2"/>
      </rPr>
      <t>HD</t>
    </r>
    <r>
      <rPr>
        <b/>
        <sz val="11"/>
        <rFont val="B Nazanin"/>
        <charset val="178"/>
      </rPr>
      <t>-10</t>
    </r>
  </si>
  <si>
    <t>G-18</t>
  </si>
  <si>
    <r>
      <rPr>
        <b/>
        <sz val="11"/>
        <rFont val="Arial"/>
        <family val="2"/>
      </rPr>
      <t>G</t>
    </r>
    <r>
      <rPr>
        <b/>
        <sz val="11"/>
        <rFont val="B Nazanin"/>
        <charset val="178"/>
      </rPr>
      <t>-18</t>
    </r>
  </si>
  <si>
    <t>G-12</t>
  </si>
  <si>
    <r>
      <rPr>
        <b/>
        <sz val="11"/>
        <rFont val="Arial"/>
        <family val="2"/>
      </rPr>
      <t>G</t>
    </r>
    <r>
      <rPr>
        <b/>
        <sz val="11"/>
        <rFont val="B Nazanin"/>
        <charset val="178"/>
      </rPr>
      <t>-12</t>
    </r>
  </si>
  <si>
    <t>G-8</t>
  </si>
  <si>
    <r>
      <rPr>
        <b/>
        <sz val="11"/>
        <rFont val="Arial"/>
        <family val="2"/>
      </rPr>
      <t>G</t>
    </r>
    <r>
      <rPr>
        <b/>
        <sz val="11"/>
        <rFont val="B Nazanin"/>
        <charset val="178"/>
      </rPr>
      <t>-8</t>
    </r>
  </si>
  <si>
    <t>تعداد</t>
  </si>
  <si>
    <t>مسافت</t>
  </si>
  <si>
    <t xml:space="preserve">نوع بهره برداري </t>
  </si>
  <si>
    <t xml:space="preserve">متوسط كيلومتراژهر لكوموتيو کل </t>
  </si>
  <si>
    <t>جمع قدرت موتور دستگاههاي آماده بکار</t>
  </si>
  <si>
    <r>
      <t xml:space="preserve">قدرت موتور </t>
    </r>
    <r>
      <rPr>
        <b/>
        <sz val="11"/>
        <rFont val="Arial"/>
        <family val="2"/>
      </rPr>
      <t>HP</t>
    </r>
    <r>
      <rPr>
        <b/>
        <sz val="11"/>
        <rFont val="B Nazanin"/>
        <charset val="178"/>
      </rPr>
      <t xml:space="preserve"> </t>
    </r>
  </si>
  <si>
    <t xml:space="preserve">تحت تعمير </t>
  </si>
  <si>
    <t>آماده بکار</t>
  </si>
  <si>
    <t>لکوموتیو کل</t>
  </si>
  <si>
    <t>نوع لكوموتيو</t>
  </si>
  <si>
    <r>
      <t xml:space="preserve">     جدول شماره 67 - تصوير نيروي کشش در سال 1402  </t>
    </r>
    <r>
      <rPr>
        <sz val="14"/>
        <color indexed="18"/>
        <rFont val="B Nazanin"/>
        <charset val="178"/>
      </rPr>
      <t xml:space="preserve">(ميانگين سال1402) </t>
    </r>
    <r>
      <rPr>
        <b/>
        <sz val="14"/>
        <color indexed="18"/>
        <rFont val="B Nazanin"/>
        <charset val="178"/>
      </rPr>
      <t xml:space="preserve">        </t>
    </r>
  </si>
  <si>
    <t>اصطلاح کل به موجودی سرمایه و اصطلاح  در گردش به کل تغییر یافته است.</t>
  </si>
  <si>
    <t>تعداد موجودی سرمایه بر اساس آخرين روز اسفند محاسبه شده است.</t>
  </si>
  <si>
    <t xml:space="preserve">DF8DI( سیوان ترابر) </t>
  </si>
  <si>
    <r>
      <t>DF8BI2(</t>
    </r>
    <r>
      <rPr>
        <sz val="12"/>
        <rFont val="B Nazanin"/>
        <charset val="178"/>
      </rPr>
      <t xml:space="preserve"> گهر ترابر سیرجان</t>
    </r>
    <r>
      <rPr>
        <sz val="12"/>
        <rFont val="Arial"/>
        <family val="2"/>
      </rPr>
      <t xml:space="preserve">) </t>
    </r>
  </si>
  <si>
    <r>
      <t>DF8BI1 (</t>
    </r>
    <r>
      <rPr>
        <sz val="12"/>
        <rFont val="B Nazanin"/>
        <charset val="178"/>
      </rPr>
      <t>راه آهن کشش</t>
    </r>
    <r>
      <rPr>
        <sz val="12"/>
        <rFont val="Arial"/>
        <family val="2"/>
      </rPr>
      <t>)</t>
    </r>
  </si>
  <si>
    <t>( البرز   )CDN10</t>
  </si>
  <si>
    <t>ریل پردازMAP24</t>
  </si>
  <si>
    <t>راهوارMAP24</t>
  </si>
  <si>
    <t>مپناMAP24</t>
  </si>
  <si>
    <t>آذر کیا GT26</t>
  </si>
  <si>
    <t>GT-26CW-p
 (االوند)</t>
  </si>
  <si>
    <t>GT-26CW-p
 (البرز)</t>
  </si>
  <si>
    <t>GT-26CW-p
 (راهوار)</t>
  </si>
  <si>
    <t>بخش خصوصي</t>
  </si>
  <si>
    <t xml:space="preserve">کل </t>
  </si>
  <si>
    <t>تعداد ميانگين</t>
  </si>
  <si>
    <t>موجودی سرمایه</t>
  </si>
  <si>
    <t xml:space="preserve">جدول شماره 68 -ميانگين آمار لکوموتيوهاي راه آهن در اسفند ماه سال 1402  </t>
  </si>
  <si>
    <t>ماخذ : سيستم ثبتي روزانه دیزلها</t>
  </si>
  <si>
    <t>لازم بذکر است آمار لکوموتيوهاي باري شامل تردد و لکوموتيوهاي مسافري شامل محلي نيز ميباشند .</t>
  </si>
  <si>
    <t xml:space="preserve">مسافری </t>
  </si>
  <si>
    <t>باری</t>
  </si>
  <si>
    <t>مانوری</t>
  </si>
  <si>
    <t>مسافري</t>
  </si>
  <si>
    <t>باري</t>
  </si>
  <si>
    <t xml:space="preserve">باري </t>
  </si>
  <si>
    <t xml:space="preserve"> روز</t>
  </si>
  <si>
    <t>تعداد لکوموتیو</t>
  </si>
  <si>
    <t>ميانگين تعداد</t>
  </si>
  <si>
    <t>ميانگين مسافت پيموده شده</t>
  </si>
  <si>
    <t xml:space="preserve">ماخذ: اداره كل واگنها </t>
  </si>
  <si>
    <t xml:space="preserve">يخچال </t>
  </si>
  <si>
    <t xml:space="preserve"> واگن انتهايي</t>
  </si>
  <si>
    <t>جمع محوري</t>
  </si>
  <si>
    <t>واگن حمل بالاست</t>
  </si>
  <si>
    <t>مخزندار</t>
  </si>
  <si>
    <t>كمر شكن</t>
  </si>
  <si>
    <t>مسطح عريض</t>
  </si>
  <si>
    <t>مسطح</t>
  </si>
  <si>
    <t>لبه بلند معدن</t>
  </si>
  <si>
    <t xml:space="preserve">لبه كوتاه </t>
  </si>
  <si>
    <t>واگن مخصوص حمل غلات</t>
  </si>
  <si>
    <t>مسقف</t>
  </si>
  <si>
    <t>خصوصي</t>
  </si>
  <si>
    <t>راه آهني</t>
  </si>
  <si>
    <t>جمع ظرفيت كل واگنها  (تن)</t>
  </si>
  <si>
    <t>ظرفيت  كل واگنها به تفكيك محور (تن)</t>
  </si>
  <si>
    <t>ظرفيت متوسط هر واگن در گردش (تن)</t>
  </si>
  <si>
    <t>آماده به کار</t>
  </si>
  <si>
    <t>منتظر تعمیر</t>
  </si>
  <si>
    <t>تعداد واگنها در پایان اسفند ماه</t>
  </si>
  <si>
    <t>به مأخذ اسفندماه</t>
  </si>
  <si>
    <t>جدول شماره 69 - تعداد واگنهاي باري در سال 1402</t>
  </si>
  <si>
    <t>کارخانه سرخس ناحیه خراسان جهت تعمیرات اساسی یوژی توسط بخش خصوصی می باشد.</t>
  </si>
  <si>
    <t>**</t>
  </si>
  <si>
    <t>در آمار مذكور كارخانجات باز سازي لکوموتیو كرج منظور نگرديده است .</t>
  </si>
  <si>
    <t>*</t>
  </si>
  <si>
    <t xml:space="preserve">      لازم به ذكر است در كليه ادارات مناطق تعميرات ويژه وجاري واگنهاي باري و همچنين در بعضي از كارخانجات تعمير واگنها , انواع مختلف تعميرات  انجام مي گردد.</t>
  </si>
  <si>
    <t xml:space="preserve">جمع كل </t>
  </si>
  <si>
    <t>√</t>
  </si>
  <si>
    <t xml:space="preserve">ري </t>
  </si>
  <si>
    <t>خراسان**</t>
  </si>
  <si>
    <t>تهران *</t>
  </si>
  <si>
    <t xml:space="preserve">جاري </t>
  </si>
  <si>
    <t xml:space="preserve">مقرره </t>
  </si>
  <si>
    <t xml:space="preserve">ساليانه </t>
  </si>
  <si>
    <t xml:space="preserve"> فعال</t>
  </si>
  <si>
    <t>غير فعال</t>
  </si>
  <si>
    <t xml:space="preserve">اساسي </t>
  </si>
  <si>
    <t>بازسازي</t>
  </si>
  <si>
    <t xml:space="preserve">تعداد دپوها </t>
  </si>
  <si>
    <t xml:space="preserve">انواع تعميرات ديزل </t>
  </si>
  <si>
    <t xml:space="preserve">كارخانجات تعمير اساسي  ديزل </t>
  </si>
  <si>
    <t>تعداد کارخانجات تعمير واگن مسافري</t>
  </si>
  <si>
    <t xml:space="preserve">انواع تعمير واگن مسافري </t>
  </si>
  <si>
    <t xml:space="preserve">تعداد كارخانجات تعمير واگن باري </t>
  </si>
  <si>
    <t xml:space="preserve">انواع  تعمير واگن باري </t>
  </si>
  <si>
    <t>جدول شماره 70 - تعداد دپو ها وكارخانجات به تفكيك نوع تعميرات در سال 1402</t>
  </si>
  <si>
    <t xml:space="preserve">ماخذ : اداره کل واگنها </t>
  </si>
  <si>
    <t>تعداد واگن های آماده به کار</t>
  </si>
  <si>
    <t xml:space="preserve">تعداد </t>
  </si>
  <si>
    <t xml:space="preserve"> آمار ماهیانه واگنهای خدماتی  در سال 1400</t>
  </si>
  <si>
    <t xml:space="preserve"> آمار ماهیانه سالنهای مسافري در سال 1400</t>
  </si>
  <si>
    <t>ماخذ :اداره کل واگنها</t>
  </si>
  <si>
    <t>سایر مالکان</t>
  </si>
  <si>
    <t>رجاء</t>
  </si>
  <si>
    <t xml:space="preserve"> آماده به کار</t>
  </si>
  <si>
    <t>مالكيت</t>
  </si>
  <si>
    <t>به ماخذ اسفندماه</t>
  </si>
  <si>
    <t>جدول شماره 96 -  واگن هاي خدماتی در سال 1402</t>
  </si>
  <si>
    <t>درجه دو</t>
  </si>
  <si>
    <t>اتوبوسی</t>
  </si>
  <si>
    <t>خواب</t>
  </si>
  <si>
    <t>ریل باس ارم(درجه1)</t>
  </si>
  <si>
    <t xml:space="preserve"> ترن ست پردیس( درجه 1)</t>
  </si>
  <si>
    <t xml:space="preserve"> رجاء</t>
  </si>
  <si>
    <t xml:space="preserve">تعداد  </t>
  </si>
  <si>
    <t>نوع کاربری</t>
  </si>
  <si>
    <t>جدول شماره 95 - تعداد سالن هاي مسافري در سال 1402</t>
  </si>
  <si>
    <t xml:space="preserve">فارس </t>
  </si>
  <si>
    <t>شمال غرب</t>
  </si>
  <si>
    <t>شمال شرق 2</t>
  </si>
  <si>
    <t>شمال شرق 1</t>
  </si>
  <si>
    <t xml:space="preserve">تعمير ساليانه </t>
  </si>
  <si>
    <t>تعمير اساسي</t>
  </si>
  <si>
    <t>واحد تعمير كننده</t>
  </si>
  <si>
    <t>جدول شماره 94 - انواع تعميرات واگن های مسافري در ادارات كل مناطق راه آهن در سال 1402</t>
  </si>
  <si>
    <t>تعمیرات بازسازی</t>
  </si>
  <si>
    <t>بازديد ساليانه</t>
  </si>
  <si>
    <t>تعميرات اساسي</t>
  </si>
  <si>
    <t>جدول شماره 93 - تعميرات انجام شده واگن هاي مسافري درسال1402  و مقايسه آن با سال قبل</t>
  </si>
  <si>
    <t>پیشتاز راه و شهر</t>
  </si>
  <si>
    <t>ريل سير کوثر</t>
  </si>
  <si>
    <t xml:space="preserve">راه آهن </t>
  </si>
  <si>
    <t>وانيا ريل</t>
  </si>
  <si>
    <t xml:space="preserve"> جوپار</t>
  </si>
  <si>
    <t>راه آهن شرقي بنياد</t>
  </si>
  <si>
    <t>رعد تبريز</t>
  </si>
  <si>
    <t>تعداد واگنهای خدماتی</t>
  </si>
  <si>
    <t>تعداد سالنهای خودکشش</t>
  </si>
  <si>
    <t>تعداد سالنهای اتوبوسی</t>
  </si>
  <si>
    <t>تعداد سالنهای خواب</t>
  </si>
  <si>
    <t>مالک</t>
  </si>
  <si>
    <t>جدول شماره 99  -تعداد واگنهاي مسافري به تفکيک شرکتها در پايان سال 1402</t>
  </si>
  <si>
    <t>MAP24</t>
  </si>
  <si>
    <t xml:space="preserve"> ریل پرداز</t>
  </si>
  <si>
    <t>(CDN10)</t>
  </si>
  <si>
    <t xml:space="preserve">دالیان </t>
  </si>
  <si>
    <t xml:space="preserve"> پرس </t>
  </si>
  <si>
    <t>(DF8DI)</t>
  </si>
  <si>
    <t>کيشویان</t>
  </si>
  <si>
    <t>سیوان ترابر</t>
  </si>
  <si>
    <t xml:space="preserve"> البرز نيرو</t>
  </si>
  <si>
    <t>فولاد مبارکه</t>
  </si>
  <si>
    <t>مپنا</t>
  </si>
  <si>
    <t>(DF8BI)</t>
  </si>
  <si>
    <t>گهر ترابر سیرجان</t>
  </si>
  <si>
    <t>GM-GT26</t>
  </si>
  <si>
    <t>آروین تبریز</t>
  </si>
  <si>
    <t>راه آهن کشش</t>
  </si>
  <si>
    <t xml:space="preserve"> الوند</t>
  </si>
  <si>
    <t>توکا ریل</t>
  </si>
  <si>
    <t xml:space="preserve"> راهوار</t>
  </si>
  <si>
    <t xml:space="preserve">مدل </t>
  </si>
  <si>
    <t>تعداد لکوموتيو</t>
  </si>
  <si>
    <t>نوع لکوموتيو</t>
  </si>
  <si>
    <r>
      <t>نام شركت</t>
    </r>
    <r>
      <rPr>
        <b/>
        <sz val="12"/>
        <color indexed="8"/>
        <rFont val="B Nazanin"/>
        <charset val="178"/>
      </rPr>
      <t xml:space="preserve"> </t>
    </r>
  </si>
  <si>
    <t>جدول شماره 107- تعداد موجودی سرمایه  لکوموتيوهاي بخش خصوصي در پايان سال 1402</t>
  </si>
  <si>
    <t>ویستا ریل پارس</t>
  </si>
  <si>
    <t>ويستا ريل پارس</t>
  </si>
  <si>
    <t>میتالورژی ایندکیمیستری پرودکت پارس</t>
  </si>
  <si>
    <t>میتالورژی ایندگمیستری پردکت پارس</t>
  </si>
  <si>
    <t>کاروان ریل گلستان</t>
  </si>
  <si>
    <t>شرکت مدیریت بین المللی همراه جاده ریل دریا</t>
  </si>
  <si>
    <t>طلیعه داران کیش</t>
  </si>
  <si>
    <t>قطارهای مسافربری رعد تبریز</t>
  </si>
  <si>
    <t>قطارهاي مسافربري رعد تبريز</t>
  </si>
  <si>
    <t>فولاد ریل توس</t>
  </si>
  <si>
    <t>فولاد خوزستان</t>
  </si>
  <si>
    <t xml:space="preserve">فولاد خوزستان </t>
  </si>
  <si>
    <t>صنایع ملی مس ایران</t>
  </si>
  <si>
    <t>صنايع ملي مس ايران</t>
  </si>
  <si>
    <t>سی بی جی</t>
  </si>
  <si>
    <t>سي بي جي</t>
  </si>
  <si>
    <t>سمند ریل</t>
  </si>
  <si>
    <t xml:space="preserve">سمند ريل </t>
  </si>
  <si>
    <t>سپهران ریل راسا</t>
  </si>
  <si>
    <t>سپهر زاوه طوس</t>
  </si>
  <si>
    <t>سپر زاوه توس</t>
  </si>
  <si>
    <t>حمل و نقل چندوجهی سایپا لجستیک</t>
  </si>
  <si>
    <t>سايپا لجستيك</t>
  </si>
  <si>
    <t>ریل کاران ورسک</t>
  </si>
  <si>
    <t xml:space="preserve">ريل كاران ورسك   </t>
  </si>
  <si>
    <t>ریل پرداز سیر</t>
  </si>
  <si>
    <t>ريل پرداز سير</t>
  </si>
  <si>
    <t>راهوار ریل کوثر</t>
  </si>
  <si>
    <t>راهوارريل كوثر</t>
  </si>
  <si>
    <t>راه آهن شرقی بنیاد</t>
  </si>
  <si>
    <t>راه اهن شرقی بنیاد</t>
  </si>
  <si>
    <t>راه آهن حمل و نقل</t>
  </si>
  <si>
    <t xml:space="preserve">راه آهن حمل و نقل </t>
  </si>
  <si>
    <t>خدمات مهندسی ساختمان و تاسیسات</t>
  </si>
  <si>
    <t xml:space="preserve">خدمات مهندسي ساختمان و تاسيسات </t>
  </si>
  <si>
    <t>حمل و نقل سینا ریل پارس</t>
  </si>
  <si>
    <t>حمل و نقل چند وجهی مپنا</t>
  </si>
  <si>
    <t>حمل و نقل ترکیبی کشتیرانی</t>
  </si>
  <si>
    <t>حمل و نقل تركيبي كشتيراني  ج.ا.ا</t>
  </si>
  <si>
    <t>حمل و نقل ترکیبی مواد معدنی گهر ترابر سیرجان</t>
  </si>
  <si>
    <t>جنرال مکانیک</t>
  </si>
  <si>
    <t>جنرال مکانيک</t>
  </si>
  <si>
    <t>چند وجهی فولاد لجستیک</t>
  </si>
  <si>
    <t>جند وجهي فولاد لجستيک</t>
  </si>
  <si>
    <t xml:space="preserve">توكا ريل </t>
  </si>
  <si>
    <t>توکا کشش</t>
  </si>
  <si>
    <t>حمل و نقل ریلی پارسیان</t>
  </si>
  <si>
    <t xml:space="preserve">توسعه حمل و نقل بین المللی پارسیان </t>
  </si>
  <si>
    <t>توسار</t>
  </si>
  <si>
    <t>سریر لجستیک هوشمند ایرانیان</t>
  </si>
  <si>
    <t>تعاونی خدمات اداری فولاد یار</t>
  </si>
  <si>
    <t>ترکیب حمل و نقل</t>
  </si>
  <si>
    <t xml:space="preserve">تركيب حمل و نقل  </t>
  </si>
  <si>
    <t>تجارت کوشش سپاهان</t>
  </si>
  <si>
    <t>پویا ترابر پیشتاز</t>
  </si>
  <si>
    <t>پويا ترابر پيشتاز</t>
  </si>
  <si>
    <t>آلومینیوم ایران(ایرالکو)</t>
  </si>
  <si>
    <t xml:space="preserve">پودر آلومينيم ( ايرالكو) </t>
  </si>
  <si>
    <t>ایران گاز</t>
  </si>
  <si>
    <t xml:space="preserve">پرسي ايران گاز </t>
  </si>
  <si>
    <t>پرتو بار فرابر خلیج فارس</t>
  </si>
  <si>
    <t>پرتو بار خليج فارس</t>
  </si>
  <si>
    <t>پارسیان ریل شرق</t>
  </si>
  <si>
    <t>پارسيان ريل شرق</t>
  </si>
  <si>
    <t>بیکران قشم</t>
  </si>
  <si>
    <t>بهتاش سپاهان</t>
  </si>
  <si>
    <t xml:space="preserve">بهتاش سپاهان </t>
  </si>
  <si>
    <t>بوتان ران</t>
  </si>
  <si>
    <t>بوتان  ران</t>
  </si>
  <si>
    <t>برادران مجد پور</t>
  </si>
  <si>
    <t>آهن ریل کاران</t>
  </si>
  <si>
    <t xml:space="preserve">آهن ريل كاران ( لوله سازی اهواز ) </t>
  </si>
  <si>
    <t>آسیا سیر ارس</t>
  </si>
  <si>
    <t xml:space="preserve">آسيا سير ارس </t>
  </si>
  <si>
    <t>شرکت فنی و ساختمانی آرشین کوه</t>
  </si>
  <si>
    <t>آرشين کوه</t>
  </si>
  <si>
    <t>گروه صنعت آذر کیا تجارت</t>
  </si>
  <si>
    <t>آذر کيا تجارت</t>
  </si>
  <si>
    <t>احیاء ریل ایرانیان</t>
  </si>
  <si>
    <t>احياء ريل ايرانيان</t>
  </si>
  <si>
    <t>يخچال دار</t>
  </si>
  <si>
    <t>ويژه حمل خودرو</t>
  </si>
  <si>
    <t>مسقف حمل آلومينيوم</t>
  </si>
  <si>
    <t>لبه کوتاه</t>
  </si>
  <si>
    <t>فله بر غلات</t>
  </si>
  <si>
    <t>زير بومي</t>
  </si>
  <si>
    <t>حمل بالاست</t>
  </si>
  <si>
    <t>انتهاي قطار - کابوس</t>
  </si>
  <si>
    <t>مسقف (حمل خودرو)</t>
  </si>
  <si>
    <t xml:space="preserve">مسطح  </t>
  </si>
  <si>
    <t>لبه كوتاه</t>
  </si>
  <si>
    <t>لبه بلند شش محوره</t>
  </si>
  <si>
    <t xml:space="preserve">لبه بلند </t>
  </si>
  <si>
    <t>كمرشكن</t>
  </si>
  <si>
    <t>حمل غلات  ( فله بر )</t>
  </si>
  <si>
    <t xml:space="preserve">حمل پودر آلومينيم </t>
  </si>
  <si>
    <t>انتهاي قطار</t>
  </si>
  <si>
    <t xml:space="preserve"> حمل بالاست</t>
  </si>
  <si>
    <t xml:space="preserve">       يخچال</t>
  </si>
  <si>
    <t>مالک واگن</t>
  </si>
  <si>
    <t>جدول شماره 108 - تعداد واگن های باری بخش خصوصی در پایان اسفند ماه سال 1402</t>
  </si>
  <si>
    <t xml:space="preserve"> جدول شماره 57 - پروژه هاي ارتباطات  و علائم الکتریکی در سال 1402</t>
  </si>
  <si>
    <t>نام اداره</t>
  </si>
  <si>
    <t xml:space="preserve">عنوان پروژه  ارتباطات </t>
  </si>
  <si>
    <t>واحد عملیات</t>
  </si>
  <si>
    <t>حجم  کل</t>
  </si>
  <si>
    <t>حجم انجام شده کل</t>
  </si>
  <si>
    <t xml:space="preserve">درصد پيشرفت </t>
  </si>
  <si>
    <t>نظارت برمراکز خودکار و دیتا</t>
  </si>
  <si>
    <t>خرید، نصب و راه اندازی مراکز خودکار</t>
  </si>
  <si>
    <t>ایستگاه</t>
  </si>
  <si>
    <t>خرید، نصب و راه اندازی سیستم نظارت تصویری (دوربین لکوموتیو)(فاز اول)</t>
  </si>
  <si>
    <t>دوربین</t>
  </si>
  <si>
    <t>نظارت بر ارتباطات رادیویی</t>
  </si>
  <si>
    <t>دیجیتال سازی سبکه رادیویی (DMR)</t>
  </si>
  <si>
    <t>پوشش رادیویی تونلها</t>
  </si>
  <si>
    <t>کیلومتر</t>
  </si>
  <si>
    <t>نظارت بر سیستم های انتقال</t>
  </si>
  <si>
    <t>نصب و راه اندازی تجهیزات انتقال نوری (تجهیزات تکمیلی)</t>
  </si>
  <si>
    <t xml:space="preserve">نظارت بر شبکه خطوط انتقال </t>
  </si>
  <si>
    <t>توسعه شبکه کابل فیبر نوری</t>
  </si>
  <si>
    <t xml:space="preserve">عنوان پروژه علائم الکتریکی </t>
  </si>
  <si>
    <t>حجم کل</t>
  </si>
  <si>
    <t>نظارت بر توسعه علائم</t>
  </si>
  <si>
    <t>تجهیز شبکه به سیستم ATC</t>
  </si>
  <si>
    <t>تجهیز و نوسازی علائم الکتریکی محور جنوب</t>
  </si>
  <si>
    <t>بهسازی علائم ایستگاههای مورد نیاز بهره بردار</t>
  </si>
  <si>
    <t>بهسازی CTC ایستگاهها</t>
  </si>
  <si>
    <t>نظارت بر پشتیبانی علائم</t>
  </si>
  <si>
    <t>تراک بندی دو خطه محور بافق-بندرعباس</t>
  </si>
  <si>
    <t>تراک بندی محور تهران-قم</t>
  </si>
  <si>
    <t>پایش و سیستم های نوین</t>
  </si>
  <si>
    <t>نوسازی و بهسازی علائم الکتریکی محور بافق-اصفهان</t>
  </si>
  <si>
    <t>نصب سیتم توزین</t>
  </si>
  <si>
    <t>تجهیز مرکز مانیتورینگ سیستم دیسپچنگ</t>
  </si>
  <si>
    <t xml:space="preserve">ماخذ : اداره کل ارتباطات و علائم الکتریکی </t>
  </si>
  <si>
    <t xml:space="preserve">ادارات كل مناطق </t>
  </si>
  <si>
    <t>الكتريكي</t>
  </si>
  <si>
    <t>غير علائمي</t>
  </si>
  <si>
    <t>تعدادكل</t>
  </si>
  <si>
    <t>R.C</t>
  </si>
  <si>
    <t>C.T.C</t>
  </si>
  <si>
    <t>Local</t>
  </si>
  <si>
    <t>تعداد كل علائمي</t>
  </si>
  <si>
    <t>شمال 1</t>
  </si>
  <si>
    <t>شمال شرق1</t>
  </si>
  <si>
    <t>شمال شرق2</t>
  </si>
  <si>
    <t>مجموع</t>
  </si>
  <si>
    <t>* توضیح :15 ایستگاه بهسازی علائم در سال 1402 انجام گردیده است.(آهودشت-قزوین-ورزنه-بامدژ-مشهد-شیرگشت-کال زرد-عباس آباد-پرواده-زرند-اردکان-میبد-سه چاهون-بیشه در-زرین)</t>
  </si>
  <si>
    <t>نوسازی 4 ایستگاه در سال 1402 انجام گردیده است. (ارژنگ-ساقه- عقدا- شیرازکوه)</t>
  </si>
  <si>
    <t>مأخذ : شركت راه آهن جمهوري اسلامي ايران</t>
  </si>
  <si>
    <t xml:space="preserve"> ادارات كل مناطق</t>
  </si>
  <si>
    <t>خط هوايي</t>
  </si>
  <si>
    <t>كابل فيبرنوري</t>
  </si>
  <si>
    <t>توضیح: بهسازی کابل فیبر نوری به میزان 48 کیلومتر در سال 1402 انجام گردیده است.</t>
  </si>
  <si>
    <t>ماخذ : شركت راه‌آهن جمهوري اسلامي ايران</t>
  </si>
  <si>
    <t>مرکز   (1420)</t>
  </si>
  <si>
    <t>جدول شماره 73 - وضعيت كاركنان ادارات كل ، دفاتر مركزي و پروژه های راه آهن در پايان سال 1402</t>
  </si>
  <si>
    <t>واحدهاي سازماني</t>
  </si>
  <si>
    <t>جنسيت</t>
  </si>
  <si>
    <t>وضعيت اشتغال كاركنان</t>
  </si>
  <si>
    <t>نوع خدمت</t>
  </si>
  <si>
    <t>وضعيت تحصيلي كاركنان</t>
  </si>
  <si>
    <t>پيماني</t>
  </si>
  <si>
    <t>قرارداد معين مشخص</t>
  </si>
  <si>
    <t>ساعتي</t>
  </si>
  <si>
    <t>ثابت شركتي</t>
  </si>
  <si>
    <t>روزمزد</t>
  </si>
  <si>
    <t>رسمي</t>
  </si>
  <si>
    <t>کارگری موقت</t>
  </si>
  <si>
    <t>جمع شاغلين</t>
  </si>
  <si>
    <t>دكترا</t>
  </si>
  <si>
    <t>كارشناسي ارشد</t>
  </si>
  <si>
    <t>كارشناسي</t>
  </si>
  <si>
    <t>كارداني</t>
  </si>
  <si>
    <t>ديپلم</t>
  </si>
  <si>
    <t>سوم راهنمايي</t>
  </si>
  <si>
    <t>پایان ابتدايي وكمتر</t>
  </si>
  <si>
    <t>حوزه مديرعامل</t>
  </si>
  <si>
    <t>مرد</t>
  </si>
  <si>
    <t>زن</t>
  </si>
  <si>
    <t>غير رسمي</t>
  </si>
  <si>
    <t>حوزه معاونين راه آهن</t>
  </si>
  <si>
    <t>دفتر مديرعامل و مديريت عملکرد</t>
  </si>
  <si>
    <t>گزينش  حمل و نقل ريلي</t>
  </si>
  <si>
    <t>ذيحسابي طرحهاي عمراني</t>
  </si>
  <si>
    <t>اداره کل حراست</t>
  </si>
  <si>
    <t>دفترحقوقي</t>
  </si>
  <si>
    <t>اداره كل ايمني ونظارت برشبکه</t>
  </si>
  <si>
    <t xml:space="preserve">پروژه اجرایی طرح تحول سازمانی </t>
  </si>
  <si>
    <t>دفتر  امور بين الملل</t>
  </si>
  <si>
    <t>دفتر تنظيم گري ضوابط و مقررات</t>
  </si>
  <si>
    <t>دفترروابط عمومي</t>
  </si>
  <si>
    <t>دفتربرنامه ريزي وبودجه</t>
  </si>
  <si>
    <t xml:space="preserve">معاونت تامین سرمایه و اقتصاد حمل و نقل </t>
  </si>
  <si>
    <t>معاونت تامین  سرمايه و اقتصاد حمل و نقل :</t>
  </si>
  <si>
    <t>دفتر سرمايه گذاري و اقتصاد حمل و نقل</t>
  </si>
  <si>
    <t>دفتر هوشمند سازي و داده كاوي</t>
  </si>
  <si>
    <t>مرکز توسعه، آموزش و فناوري</t>
  </si>
  <si>
    <t>معاونت فنی و زيربنايي :</t>
  </si>
  <si>
    <t>دفترمهندسي ونظارت تاسيسات زيربنايي</t>
  </si>
  <si>
    <t>اداره كل خط و سازه هاي فني</t>
  </si>
  <si>
    <t>اداره كل ارتباطات وعلائم الكتريكي</t>
  </si>
  <si>
    <t xml:space="preserve">طرح برقی سازی خطوط راه آهن </t>
  </si>
  <si>
    <t>پروژه خطوط سریع السیر</t>
  </si>
  <si>
    <t>معاونت ناوگان :</t>
  </si>
  <si>
    <t>اداره كل نيروي كشش</t>
  </si>
  <si>
    <t>اداره كل واگنها</t>
  </si>
  <si>
    <t>دفترمهندسي ونظارت ناوگان</t>
  </si>
  <si>
    <t>معاونت بازرگانی و بهره برداري  :</t>
  </si>
  <si>
    <t>اداره كل لجستيك</t>
  </si>
  <si>
    <t>دفتر مهندسي حمل و نقل</t>
  </si>
  <si>
    <t>اداره كل سيروحركت</t>
  </si>
  <si>
    <t>اداره کل بازرگانی خارجی و روابط بین الملل</t>
  </si>
  <si>
    <t>اداره کل بازرگاني داخلي</t>
  </si>
  <si>
    <t>معاونت مسافري:</t>
  </si>
  <si>
    <t>اداره کل برنامه ريزي و نظارت بر خدمات مسافري</t>
  </si>
  <si>
    <t>اداره کل خدمات ساختماني و ايستگاهي</t>
  </si>
  <si>
    <t xml:space="preserve">طرح بهره برداری از قطارهای حومه ای </t>
  </si>
  <si>
    <t>معاونت توسعه مديريت و منابع :</t>
  </si>
  <si>
    <t xml:space="preserve">اداره کل منابع انسانی و تشکیلات </t>
  </si>
  <si>
    <t xml:space="preserve">اداره کل  امور رفاهی و سلامت </t>
  </si>
  <si>
    <t xml:space="preserve">اداره كل امورمالي و اموال </t>
  </si>
  <si>
    <t>0-10</t>
  </si>
  <si>
    <t>10-20</t>
  </si>
  <si>
    <t xml:space="preserve">اداره كل تداركات و پشتیبانی </t>
  </si>
  <si>
    <t>20-30</t>
  </si>
  <si>
    <t>30به بالا</t>
  </si>
  <si>
    <t>دفتر برنامه ریزی راه بردی و توسعه فناوری</t>
  </si>
  <si>
    <t>جمع كل واحدهاي مركز</t>
  </si>
  <si>
    <t>توضیح :آمار مربوط به کارخانجات تعمیرات لکوموتیو بافق و اداره کل کارخانجات بازسازی لکوموتیو کرج در آمار اداره کل نیروی کشش منظور گردیده است .</t>
  </si>
  <si>
    <t>در سيستم مكانيزه پرسنلي ، مدرك تحصيلي 3 نفر از كاركنان ادارات كل ودفاتر مركزي نامشخص مي باشد.</t>
  </si>
  <si>
    <t>جدول شماره 74 - وضعيت كاركنان ادارات كل مناطق راه آهن در پايان سال 1402</t>
  </si>
  <si>
    <t>پیمانی</t>
  </si>
  <si>
    <t>قراردادمعین مشخص</t>
  </si>
  <si>
    <t>ساعتی</t>
  </si>
  <si>
    <t xml:space="preserve">کارگری موقت </t>
  </si>
  <si>
    <t>غيررسمي</t>
  </si>
  <si>
    <t>مركز</t>
  </si>
  <si>
    <t>اراک</t>
  </si>
  <si>
    <t xml:space="preserve">قم </t>
  </si>
  <si>
    <t xml:space="preserve">یزد </t>
  </si>
  <si>
    <t xml:space="preserve">هرمزگان </t>
  </si>
  <si>
    <t>شمال1</t>
  </si>
  <si>
    <t xml:space="preserve">جنوبشرق </t>
  </si>
  <si>
    <t>كارشناسي ارشدو بالاتر</t>
  </si>
  <si>
    <t>پایان ابتدایی و کمتر</t>
  </si>
  <si>
    <t>جدول شماره 75 - وضعيت تجمعي كاركنان راه آهن در پايان سال 1402</t>
  </si>
  <si>
    <t>جمع كاركنان مركز</t>
  </si>
  <si>
    <t>رسمی</t>
  </si>
  <si>
    <t>جمع كاركنان مناطق</t>
  </si>
  <si>
    <t>جمع كل كاركنان</t>
  </si>
  <si>
    <t>ماخذ : سيستم مكانيزه پرسنلی</t>
  </si>
  <si>
    <t>جدول شماره 76 - تعداد كل كاركنان درسال 1402 ومقايسه آن با سال قبل</t>
  </si>
  <si>
    <t>افزايش</t>
  </si>
  <si>
    <t>كاهش</t>
  </si>
  <si>
    <t xml:space="preserve"> رسمي</t>
  </si>
  <si>
    <t xml:space="preserve"> روزمزد</t>
  </si>
  <si>
    <t>جدول شماره 51-  عمليات انجام شده در واحد هاي مختلف اداره كل خط و سازه هاي فني جهت نگهداري خطوط در سال 1402</t>
  </si>
  <si>
    <t xml:space="preserve">شمال </t>
  </si>
  <si>
    <t xml:space="preserve">تهران </t>
  </si>
  <si>
    <t xml:space="preserve">لرستان </t>
  </si>
  <si>
    <t xml:space="preserve">جنوب </t>
  </si>
  <si>
    <t xml:space="preserve">شمالغرب </t>
  </si>
  <si>
    <t xml:space="preserve">آذربايجان </t>
  </si>
  <si>
    <t xml:space="preserve">شمالشرق 1 </t>
  </si>
  <si>
    <t xml:space="preserve">خراسان </t>
  </si>
  <si>
    <t xml:space="preserve">اصفهان </t>
  </si>
  <si>
    <t>بهسازي خطوط</t>
  </si>
  <si>
    <t>متر</t>
  </si>
  <si>
    <t>زيركوبي باماشين زيركوب</t>
  </si>
  <si>
    <t>بالاست ريزي</t>
  </si>
  <si>
    <t>مترمكعب</t>
  </si>
  <si>
    <t>تعويض تراورس درانواع مختلف</t>
  </si>
  <si>
    <t>اصله</t>
  </si>
  <si>
    <t>تقويت خاكريز</t>
  </si>
  <si>
    <t>متر مكعب</t>
  </si>
  <si>
    <t>خاكبرداري</t>
  </si>
  <si>
    <t>نصب سوزن جديد</t>
  </si>
  <si>
    <t>تعميرسوزن</t>
  </si>
  <si>
    <t>تعويض ريل</t>
  </si>
  <si>
    <t>شاخه</t>
  </si>
  <si>
    <t>تطویل خطوط</t>
  </si>
  <si>
    <t xml:space="preserve">احداث خطوط حومه ای </t>
  </si>
  <si>
    <t>احداث خط دوم</t>
  </si>
  <si>
    <t>جوش درز ريل</t>
  </si>
  <si>
    <t>بند</t>
  </si>
  <si>
    <t>بازسازي خط</t>
  </si>
  <si>
    <t>ماخذ : اداره کل خط و سازه های فنی</t>
  </si>
  <si>
    <t xml:space="preserve">     جدول شماره 58 - آمار طول خطوط اصلي ( بصورت محوري ) در پايان اسفند 1402</t>
  </si>
  <si>
    <t>تاريخ آغاز</t>
  </si>
  <si>
    <t>تاريخ خاتمه</t>
  </si>
  <si>
    <t xml:space="preserve">تاريخ شروع </t>
  </si>
  <si>
    <t xml:space="preserve">عرض خط </t>
  </si>
  <si>
    <t>طول خط</t>
  </si>
  <si>
    <t>مسيرخطوط</t>
  </si>
  <si>
    <t>بهره برداري</t>
  </si>
  <si>
    <t xml:space="preserve"> ساختمان</t>
  </si>
  <si>
    <t>ساختمان</t>
  </si>
  <si>
    <t>(ميليمتر)</t>
  </si>
  <si>
    <t>(كيلومتر)</t>
  </si>
  <si>
    <t>خط دوم سيرجان-گل گهر</t>
  </si>
  <si>
    <t>تبريز- جلفا</t>
  </si>
  <si>
    <t>خط دوم گل گهر-قره تپه</t>
  </si>
  <si>
    <t>صوفيان- رازي درمرزتركيه</t>
  </si>
  <si>
    <t>خط دوم رابط ملكي-آپرين</t>
  </si>
  <si>
    <t>زاهدان- ميرجاوه</t>
  </si>
  <si>
    <t>خط رابط تپه سفيد-آپرين</t>
  </si>
  <si>
    <t>تهران - بندرامام خميني</t>
  </si>
  <si>
    <t>كمربندي نظاميه-مياندشت</t>
  </si>
  <si>
    <t>تهرا ن - بندرتركمن</t>
  </si>
  <si>
    <t>خط سوم تهران-تپه سفيد</t>
  </si>
  <si>
    <t>گرمسار - مشهد</t>
  </si>
  <si>
    <t>خط دوم قره تپه-تزرج</t>
  </si>
  <si>
    <t>تهران- تبريز</t>
  </si>
  <si>
    <t>اقليد-شيراز(صدرا)</t>
  </si>
  <si>
    <t>قم - زرند</t>
  </si>
  <si>
    <t>خودروسازان-زاهدان</t>
  </si>
  <si>
    <t>اهواز - خرمشهر</t>
  </si>
  <si>
    <t>خرمشهر - شلمچه (مرز عراق)</t>
  </si>
  <si>
    <t>سربندر - بندرماهشهر</t>
  </si>
  <si>
    <t>سمنگان - ملاير</t>
  </si>
  <si>
    <t>گرگان - بندرتركمن</t>
  </si>
  <si>
    <t>مراغه - مياندوآب</t>
  </si>
  <si>
    <t>سيستان - زرين شهر</t>
  </si>
  <si>
    <t>صدرا - شيراز</t>
  </si>
  <si>
    <t>زرند - كرمان</t>
  </si>
  <si>
    <t xml:space="preserve">خط دوم قدس - حميد </t>
  </si>
  <si>
    <t>بافق - بندر عباس(اسکله شهید رجائی)</t>
  </si>
  <si>
    <t>خط دوم تزرج - انشعاب</t>
  </si>
  <si>
    <t>انشعاب-بندرعباس(مسافری)</t>
  </si>
  <si>
    <t>قمرود - گارمانوری قم</t>
  </si>
  <si>
    <t>خط دوم حسن آباد- ديزيچه</t>
  </si>
  <si>
    <t>گارمانوری قم - ساقه</t>
  </si>
  <si>
    <t>خط دوم تهران-گرمسار</t>
  </si>
  <si>
    <t>خط دوم گارمانوری قم - قم</t>
  </si>
  <si>
    <t>خط دوم تهران - آپرين</t>
  </si>
  <si>
    <t xml:space="preserve">هفت تپه -شوشتر </t>
  </si>
  <si>
    <t>فريمان- سرخس</t>
  </si>
  <si>
    <t>مهاباد-میاندوآب</t>
  </si>
  <si>
    <t xml:space="preserve">خط دوم فريمان  - مشهد </t>
  </si>
  <si>
    <t>سبزدشت(قره تپه)- اینچه برون</t>
  </si>
  <si>
    <t xml:space="preserve">رابط آپرين- ملكي  </t>
  </si>
  <si>
    <t>خط دوم ساغند -چادرملو</t>
  </si>
  <si>
    <t>خط دوم شمالشرق</t>
  </si>
  <si>
    <t>خط دوم تهران - نیک پسندی</t>
  </si>
  <si>
    <t xml:space="preserve">خط دوم نغاب - فريمان </t>
  </si>
  <si>
    <t>جمع آوری در سال 1393</t>
  </si>
  <si>
    <t>جمع آوری خط دوم آپرین- اسلامشهر</t>
  </si>
  <si>
    <t xml:space="preserve">خط عريض سرخس - تجن </t>
  </si>
  <si>
    <t>جمع آوری خط قدیم قدس- حمید</t>
  </si>
  <si>
    <t>سلام - شهيد مطهري</t>
  </si>
  <si>
    <t>خط دوم میاندشت- سربندر</t>
  </si>
  <si>
    <t>بادرود- ميبد</t>
  </si>
  <si>
    <t>خواف- سنگان</t>
  </si>
  <si>
    <t xml:space="preserve">رابط آپرين - بهرام </t>
  </si>
  <si>
    <t>سنگان- شمتیغ ایران</t>
  </si>
  <si>
    <t>رابط دوخطه آپرين- اسلامشهر</t>
  </si>
  <si>
    <t>خط دوم قمرود - گارمانوری قم</t>
  </si>
  <si>
    <t xml:space="preserve">آپرين - محمديه 2 </t>
  </si>
  <si>
    <t>ملایر-کرمانشاه</t>
  </si>
  <si>
    <t>رستمكلا-اميرآباد</t>
  </si>
  <si>
    <t>سوزن انشعاب خط قدیم قم- همدان</t>
  </si>
  <si>
    <t>اردكان - چا درملو</t>
  </si>
  <si>
    <t>خط دوم اندیمشک- شوش</t>
  </si>
  <si>
    <t>خط دوم آپرين - محمديه 2</t>
  </si>
  <si>
    <t>جمع آوری در سال 1396</t>
  </si>
  <si>
    <t>جمع آوری خط قدیم اندیمشک-شوش</t>
  </si>
  <si>
    <t xml:space="preserve">خط دوم ملكي - كرج </t>
  </si>
  <si>
    <t>خط دوم اشکذر (نظرآباد)- یزدگرد</t>
  </si>
  <si>
    <t>خط دوم  لشكري  -نیک پسندي</t>
  </si>
  <si>
    <t>خط دوم زرینکوه- ریگ</t>
  </si>
  <si>
    <t xml:space="preserve">رابط  ارژنگ  -  اردكان  </t>
  </si>
  <si>
    <t xml:space="preserve"> خط دوم ميبد - اشكذر</t>
  </si>
  <si>
    <t xml:space="preserve">محمديه 2 -  شوراب </t>
  </si>
  <si>
    <t>مهاباد- اروميه</t>
  </si>
  <si>
    <t xml:space="preserve">محمديه 2 - جمكران </t>
  </si>
  <si>
    <t>جدايش - سوزن انشعاب</t>
  </si>
  <si>
    <t>كرمان - راين</t>
  </si>
  <si>
    <t>خط دوم سيستان- ايرانكوه</t>
  </si>
  <si>
    <t>راين - بم</t>
  </si>
  <si>
    <t xml:space="preserve">رباط كريم - پرند </t>
  </si>
  <si>
    <t>بم-خودروسازان</t>
  </si>
  <si>
    <t>خط دوم يزدگرد - رخش</t>
  </si>
  <si>
    <t>بافق-جندق-چادرملو</t>
  </si>
  <si>
    <t xml:space="preserve">سياه چشمه - رشت </t>
  </si>
  <si>
    <t>جندق-كاشمر</t>
  </si>
  <si>
    <t xml:space="preserve">خط دوم شبنم - ساسان </t>
  </si>
  <si>
    <t>خط دوم احمدآباد-ميمند</t>
  </si>
  <si>
    <t>خط دوم کرج-هشتگرد</t>
  </si>
  <si>
    <t>خط دوم بافق-اضطراري 25</t>
  </si>
  <si>
    <t>میانه - بستان آباد</t>
  </si>
  <si>
    <t>خط دوم اضطراري 25-جنت آباد</t>
  </si>
  <si>
    <t>خط دوم هشتگرد-قزوین</t>
  </si>
  <si>
    <t>خط دوم جنت آباد-احمدآباد</t>
  </si>
  <si>
    <t>رابط شازند- حک</t>
  </si>
  <si>
    <t>تربت حيدريه-خواف</t>
  </si>
  <si>
    <t>خط دوم قزوین-سیاه چشمه</t>
  </si>
  <si>
    <t>خط دوم ميمند-سيرجان</t>
  </si>
  <si>
    <t>خط دوم ایرانکوه-آبنیل</t>
  </si>
  <si>
    <t>كال زرد-پرواده</t>
  </si>
  <si>
    <t>خط دوم رخش-چاه خاور</t>
  </si>
  <si>
    <t>رابط ساقه-محمديه</t>
  </si>
  <si>
    <t>خط دوم شوش-هفت تپه</t>
  </si>
  <si>
    <t>سيدآباد-شهرضا</t>
  </si>
  <si>
    <t>خط سوم و چهارم تهران- لشگری</t>
  </si>
  <si>
    <t>خط دوم هفت تپه-آهودشت</t>
  </si>
  <si>
    <t>شهرضا-اقليد</t>
  </si>
  <si>
    <t>خط دوم اشک-ارژنگ</t>
  </si>
  <si>
    <t>خط دوم رابط ارژنگ- اردكان</t>
  </si>
  <si>
    <t>خط دوم چاه خاور- طبرکوه</t>
  </si>
  <si>
    <t>بستان آباد- خاوران</t>
  </si>
  <si>
    <t>همدان- سنندج</t>
  </si>
  <si>
    <t>رخش- مبادله</t>
  </si>
  <si>
    <t>خط دوم ارژنگ- میبد</t>
  </si>
  <si>
    <t>جیگولی- خاش</t>
  </si>
  <si>
    <t>جدول شماره 59 -  طول خطوط اصلي و فرعي در سال 1402   (به ماخذ  اسفند ماه )</t>
  </si>
  <si>
    <t>خطوط اصلي</t>
  </si>
  <si>
    <t>خطوط فرعي (صنعتي تجاري و مانوري)</t>
  </si>
  <si>
    <t>جمع كل خطوط</t>
  </si>
  <si>
    <t>خط اصلي</t>
  </si>
  <si>
    <t xml:space="preserve">خط دوم </t>
  </si>
  <si>
    <t xml:space="preserve"> صنعتي تجاري</t>
  </si>
  <si>
    <t>نواحی</t>
  </si>
  <si>
    <t xml:space="preserve"> جدول شماره 62 -تعداد و نوع سوزنهاي ادارات کل مناطق در سال 1402</t>
  </si>
  <si>
    <t>نواحي</t>
  </si>
  <si>
    <t>نوع سوزن</t>
  </si>
  <si>
    <t>R60</t>
  </si>
  <si>
    <t>R50</t>
  </si>
  <si>
    <t>U33</t>
  </si>
  <si>
    <t>P65</t>
  </si>
  <si>
    <t>P50</t>
  </si>
  <si>
    <t>P43</t>
  </si>
  <si>
    <t>2A</t>
  </si>
  <si>
    <t>3A</t>
  </si>
  <si>
    <t>متفرقه</t>
  </si>
  <si>
    <t>جدول شماره 63-وضعيت شيب وفراز خطوط در سال 1402</t>
  </si>
  <si>
    <t>محل مرتفع ترين نقطه خط</t>
  </si>
  <si>
    <t>ارتفاع از سطح دريا به متر</t>
  </si>
  <si>
    <t>حداكثر شيب</t>
  </si>
  <si>
    <t>هفت تپه - اهواز</t>
  </si>
  <si>
    <t xml:space="preserve">كيلومتر816 ايستگاه اهواز </t>
  </si>
  <si>
    <t>5در هزار</t>
  </si>
  <si>
    <t>1 در هزار</t>
  </si>
  <si>
    <t>اهواز - بندرامام</t>
  </si>
  <si>
    <t>4 در هزار</t>
  </si>
  <si>
    <t>اراك-دورود</t>
  </si>
  <si>
    <t>مومن آباد کیلومتر 100+399</t>
  </si>
  <si>
    <t>15در هزار</t>
  </si>
  <si>
    <t>درود-انديمشك</t>
  </si>
  <si>
    <t>كيلومتر 556 بين تنگ 7 و تنگ 5</t>
  </si>
  <si>
    <t>16درهزار</t>
  </si>
  <si>
    <t>قم-درود</t>
  </si>
  <si>
    <t>بلاك نورآباد - سميه كيلومتر 450+376</t>
  </si>
  <si>
    <t>تهران-جدایش</t>
  </si>
  <si>
    <t xml:space="preserve"> کیلومتر 32 بلاک اسلامشهر-رباط کریم</t>
  </si>
  <si>
    <t>13.7 در هزار</t>
  </si>
  <si>
    <t xml:space="preserve"> تهران-گرمسار</t>
  </si>
  <si>
    <t>كيلومتر5 ايستگاه تهران-ری</t>
  </si>
  <si>
    <t>تهران-هشتگرد</t>
  </si>
  <si>
    <t>كيلومتر63 بين كردان-هشتگرد</t>
  </si>
  <si>
    <t>تهران- علی آباد</t>
  </si>
  <si>
    <t>كيلومتر5 ايستگاه تهران- تپه سفید</t>
  </si>
  <si>
    <t>قزوین - رشت</t>
  </si>
  <si>
    <t>ایستگاه کوهین کیلومتر 435+192</t>
  </si>
  <si>
    <t>1در هزار</t>
  </si>
  <si>
    <t>گرمسار-گرگان</t>
  </si>
  <si>
    <t>كيلومتر218 بين دوگل-گدوك</t>
  </si>
  <si>
    <t>28در هزار</t>
  </si>
  <si>
    <t>قم - اراک</t>
  </si>
  <si>
    <t>کیلومتر 237 بلاک باغیک - سواریان</t>
  </si>
  <si>
    <t>گرگان - گلوگاه</t>
  </si>
  <si>
    <t>495+938کیلومتر ایستگاه یامپی</t>
  </si>
  <si>
    <t xml:space="preserve"> 12در هزار</t>
  </si>
  <si>
    <t>سبزدشت - اینچه برون</t>
  </si>
  <si>
    <t xml:space="preserve">  کیلومتر  160+553   ایستگاه اینچه برون</t>
  </si>
  <si>
    <t xml:space="preserve">11 در هزار </t>
  </si>
  <si>
    <t>گرمسار-میاندره</t>
  </si>
  <si>
    <t>كيلومتر649+240 بلاک سمنان-میاندره</t>
  </si>
  <si>
    <t>میاندره-آبگرم</t>
  </si>
  <si>
    <t>کیلومتر 143+259 بلاک میاندره - آبگرم</t>
  </si>
  <si>
    <t>آبگرم-گرداب</t>
  </si>
  <si>
    <t>کیلومتر 402+264 بلاک آبگرم- گرداب</t>
  </si>
  <si>
    <t>گرداب - هفتخوان</t>
  </si>
  <si>
    <t>کیلومتر 426+284 بلاک گرداب-هفتخوان</t>
  </si>
  <si>
    <t>هفتخوان-لارستان</t>
  </si>
  <si>
    <t>کیلومتر 814+299 بلاک هفتخوان-لارستان</t>
  </si>
  <si>
    <t>لارستان-نقاب</t>
  </si>
  <si>
    <t>کیلومتر 321 بلاک لارستان-امروان</t>
  </si>
  <si>
    <t>نقاب مشهد</t>
  </si>
  <si>
    <t>كيلومتر 150+854 بين ابومسلم-تربت</t>
  </si>
  <si>
    <t>14درهزار</t>
  </si>
  <si>
    <t>فريمان سرخس</t>
  </si>
  <si>
    <t>كيلومتر 688+887 ايستگاه فريمان</t>
  </si>
  <si>
    <t>15درهزار</t>
  </si>
  <si>
    <t>قزوین-زنجان</t>
  </si>
  <si>
    <t>کیلومتر 530+264 بلاک پیرزاغه -سلطانیه</t>
  </si>
  <si>
    <t>10درهزار</t>
  </si>
  <si>
    <t>شیب غالب در محور</t>
  </si>
  <si>
    <t>مراغه - ارومیه</t>
  </si>
  <si>
    <t>کیلومتر 607 ایستگاه مراغه</t>
  </si>
  <si>
    <t>11درهزار</t>
  </si>
  <si>
    <t>میانه - مراغه</t>
  </si>
  <si>
    <t>کیلومتر 547 ایستگاه سراجو</t>
  </si>
  <si>
    <t xml:space="preserve">تبريز-جلفا </t>
  </si>
  <si>
    <t>كيلومتر 790 ايستگاه پيام</t>
  </si>
  <si>
    <t xml:space="preserve">28در هزار </t>
  </si>
  <si>
    <t>صوفيان- رازي</t>
  </si>
  <si>
    <t>كيلومتر 958 ايستگاه رازي</t>
  </si>
  <si>
    <t>مراغه-تبريز</t>
  </si>
  <si>
    <t>كيلومتر 657 ايستگاه پرویزبهمن</t>
  </si>
  <si>
    <t>سيستان-ارژنگ</t>
  </si>
  <si>
    <t>كيلومتر 572 ايستگاه ورزنه</t>
  </si>
  <si>
    <t>10در هزار</t>
  </si>
  <si>
    <t>شوراب-زرين شهر</t>
  </si>
  <si>
    <t xml:space="preserve">كيلومتر 453 ايستگاه چاريسه </t>
  </si>
  <si>
    <t>بادرود-اردکان-میبد</t>
  </si>
  <si>
    <t>کیلومتر 593 بلاک اردکان-میبد</t>
  </si>
  <si>
    <t>12.5 در هزار</t>
  </si>
  <si>
    <t>میبد-یزد-بافق</t>
  </si>
  <si>
    <t>کیلومتر 801 ایستگاه چاه خاور</t>
  </si>
  <si>
    <t>10 در هزار</t>
  </si>
  <si>
    <t>بافق ـ جندق</t>
  </si>
  <si>
    <t>کیلومتر 71 بلاك سه چاهون-بهاباد
کیلومتر 116 الی 125 چاه محمدو_ جندق</t>
  </si>
  <si>
    <t>1690
1350</t>
  </si>
  <si>
    <t>15 در هزار
15 در هزار</t>
  </si>
  <si>
    <t>اردکان-چادرملو</t>
  </si>
  <si>
    <t xml:space="preserve">
کیلومتر 196 ايستگاه چادرملو
دارانجیر _ خوشومی800+162 الی800+164 
</t>
  </si>
  <si>
    <t>1251
1245</t>
  </si>
  <si>
    <t>12.5 در هزار
12.5 در هزار</t>
  </si>
  <si>
    <t>شورگز-میل 72</t>
  </si>
  <si>
    <t>كيلومتر 1607ايستگاه كنجانك</t>
  </si>
  <si>
    <t>19در هزار</t>
  </si>
  <si>
    <t>كيلومتر709 بين كامه و حصارجلال</t>
  </si>
  <si>
    <t>تربت-خواف</t>
  </si>
  <si>
    <t>كيلومتر685 بين تربت حيدريه وسالار</t>
  </si>
  <si>
    <t>بافق-سيرجان</t>
  </si>
  <si>
    <t>كيلومتر1051 بين احمدآباد-ميمند</t>
  </si>
  <si>
    <t>12.5در هزار</t>
  </si>
  <si>
    <t>كرمان-بم</t>
  </si>
  <si>
    <t>كيلومتر1179 بين كرمان-راين</t>
  </si>
  <si>
    <t>18در هزار</t>
  </si>
  <si>
    <t>کوریجان- همدان</t>
  </si>
  <si>
    <t>کیلومتر 302 ایستگاه راه آهن همدان</t>
  </si>
  <si>
    <t>سیدآباد - شیراز</t>
  </si>
  <si>
    <t>كيلومتر 855 بین خانخوره-خرم بيد</t>
  </si>
  <si>
    <t>20درهزار</t>
  </si>
  <si>
    <t>جدول شماره 64 -تعداد تونلها و گالريها در شبكه خطوط راه آهن در سال 1401</t>
  </si>
  <si>
    <t>تونلها</t>
  </si>
  <si>
    <t>گالريها</t>
  </si>
  <si>
    <t>يك خطه</t>
  </si>
  <si>
    <t>دو خطه</t>
  </si>
  <si>
    <t>دوخطه</t>
  </si>
  <si>
    <t>طولm</t>
  </si>
  <si>
    <t>درزین های عدم گزارش محل استقرار و بهره برداری مناطق: تعداد 2 درزين وانتي متعلق به شرکت مهاران + تعداد 3 درزین شرکت سی بی جی + تعداد 1 درزین شرکت بالاست + تعداد 1 درزين مسافري شركت سامان صنعت فلز + تعداد 1 درزین مسافری شرکت جنرال مکانیک +  تعداد 1 درزين مسافری شرکت تراورس (جوش درز ریل) + تعداد 1 درزین شرکت تدبیر عمران جم + تعداد 1 درزین شرکت خط جوش گستر</t>
  </si>
  <si>
    <t xml:space="preserve">عداد 1 دستگاه درزين مسافري اموالی راه آّهن توسط شرکت تراورس به شرکت ثالث واگذار و فروخته شده و جایگزین خواهد شد </t>
  </si>
  <si>
    <t>تعداد 3 دستگاه درزين خط برقي شبكه بالاسري - مستقر در اداره كل راه آهن آذربايجان</t>
  </si>
  <si>
    <t xml:space="preserve">تعداد 6 دستگاه درزين وانتي اداره كل واگنها جهت بهره برداري در پروژه قطار امداد و نجات ادارات كل مناطق راه آهن (نواحی : لرستان - جنوبشرق - یزد - شمال1 - شمالشرق1 - زاگرس) که در آمار فوق لحاظ گردیده است </t>
  </si>
  <si>
    <t>تعداد ساير درزين هاي (بلا استفاده ، متوقف ، اسقاط و فرسوده ، در دست بازسازي) متعلق به شرکت تراورس مستقر در مرکز و برخي از ادارات کل نواحي</t>
  </si>
  <si>
    <t>جمع کل درزین های سبک موجود در خطوط شبکه ریلی راه آهن ج.ا.ا.</t>
  </si>
  <si>
    <t>جدول شماره 66 -  تعداد پلهاي مناطق به تفكيك نوع در سال1402</t>
  </si>
  <si>
    <t>بوز</t>
  </si>
  <si>
    <t>دالو</t>
  </si>
  <si>
    <t>فر بتون</t>
  </si>
  <si>
    <t>طاق سنگي</t>
  </si>
  <si>
    <t>فلزي</t>
  </si>
  <si>
    <t xml:space="preserve">طاقي </t>
  </si>
  <si>
    <t xml:space="preserve">طاقي خوابيده </t>
  </si>
  <si>
    <t>طاقي چند دهانه</t>
  </si>
  <si>
    <t>(P.en)</t>
  </si>
  <si>
    <t>باكس</t>
  </si>
  <si>
    <t>مركب</t>
  </si>
  <si>
    <t>خرپا فلزي</t>
  </si>
  <si>
    <t>سيفون</t>
  </si>
  <si>
    <t>گذرگاه</t>
  </si>
  <si>
    <t>طول كل(متر)</t>
  </si>
  <si>
    <t>(B)</t>
  </si>
  <si>
    <t>(D)</t>
  </si>
  <si>
    <t>(F.B)</t>
  </si>
  <si>
    <t>(A.V)</t>
  </si>
  <si>
    <t>(P.M)</t>
  </si>
  <si>
    <t>(P.V)</t>
  </si>
  <si>
    <t>(A.V.S)</t>
  </si>
  <si>
    <t>(P.V.S)</t>
  </si>
  <si>
    <t>(BOX)</t>
  </si>
  <si>
    <t>(COM)</t>
  </si>
  <si>
    <t>(Trus)</t>
  </si>
  <si>
    <t>(S-i)</t>
  </si>
  <si>
    <t>غير همسطح</t>
  </si>
  <si>
    <t>جنوب شرق</t>
  </si>
  <si>
    <t>شمال شرق  1</t>
  </si>
  <si>
    <t>شمال شرق  2</t>
  </si>
  <si>
    <r>
      <t>توضیحات :</t>
    </r>
    <r>
      <rPr>
        <sz val="12"/>
        <rFont val="B Nazanin"/>
        <charset val="178"/>
      </rPr>
      <t xml:space="preserve"> ستون گذرگاههای غیرهمسطح صرفا جهت اطلاع بوده و بعلت عبور جاده  در جمع کل پلها و طول کل محاسبه نگردیده است.</t>
    </r>
  </si>
  <si>
    <t>جدول شماره 109- درزين هاي  شركتهاي خصوصي در سال 1402</t>
  </si>
  <si>
    <t xml:space="preserve"> آمار و وضعيت درزین های سبک شرکت های خصوصی</t>
  </si>
  <si>
    <t>نوع درزین</t>
  </si>
  <si>
    <t>توضيحات</t>
  </si>
  <si>
    <t>وانتی جرثقیلدار</t>
  </si>
  <si>
    <t>آمبولانسي</t>
  </si>
  <si>
    <t>رضوان دورود</t>
  </si>
  <si>
    <t xml:space="preserve"> مستقر در ناحيه كرمان</t>
  </si>
  <si>
    <t>گسترش آهن راه</t>
  </si>
  <si>
    <t xml:space="preserve"> تعداد10 درزین در يزد + 3 درزین در آذربايجان (بانضمام 13درزين شركت تراورس تحت اجاره شرکت گارمستقر در آذربايجان) + تعداد 5 درزین در ناحیه شمال 2</t>
  </si>
  <si>
    <t>خط جوش گستر</t>
  </si>
  <si>
    <t xml:space="preserve"> تعداد یک درزین در ناحيه اراك (متوقف) + يك درزین در شمالشرق(1)  و دو درزین در فارس تحت اجاره شرکت تراورس+ تعداد دو درزین در شمالغرب تحت اجاره شرکت ریل صنعت کاران + تعداد یک عدم گزارش محل استقرار </t>
  </si>
  <si>
    <t>فراز ریل جنوب</t>
  </si>
  <si>
    <t xml:space="preserve"> تعداد 10 درزین در ناحيه جنوب تحت اجاره فراز سازان سمنان + 2 درزین در ناحيه اراک تحت اجاره راهبر ریل ایرانیان</t>
  </si>
  <si>
    <t>خط و ابنيه فلق</t>
  </si>
  <si>
    <t xml:space="preserve"> تعداد 2 درزین در ناحيه قم تحت اجاره شرکت راهبر ریل ایرانیان + 7 درزین در ناحيه غرب</t>
  </si>
  <si>
    <t>سپاه پاسداران</t>
  </si>
  <si>
    <t xml:space="preserve"> مستقر در ناحيه لرستان (متوقف و عدم كاربرد)</t>
  </si>
  <si>
    <t>ریل صنعت کاران</t>
  </si>
  <si>
    <t xml:space="preserve"> مستقر در ناحيه شمالغرب</t>
  </si>
  <si>
    <t>آب و نیرو</t>
  </si>
  <si>
    <t xml:space="preserve"> مستقر در ناحيه زاگرس (سد بختياري) - عدم بهره برداري و متوقف</t>
  </si>
  <si>
    <t>فراز سازان سمنان</t>
  </si>
  <si>
    <t xml:space="preserve"> تعداد 12 درزین در ناحيه شرق + یک درزین در ناحیه جنوب</t>
  </si>
  <si>
    <t>تدبير عمران جم</t>
  </si>
  <si>
    <t>تعداد یک درزین در شمالغرب تحت اجاره شرکت ریل صنعت کاران + تعداد یک درزین عدم گزارش محل استقرار</t>
  </si>
  <si>
    <t>راهبر ريل ایرانیان</t>
  </si>
  <si>
    <t xml:space="preserve"> تعداد 6 درزین در ناحيه اراک + تعداد یک درزین در ناحیه قم</t>
  </si>
  <si>
    <t>شبکه بهداشت</t>
  </si>
  <si>
    <t xml:space="preserve"> مستقر در ناحيه لرستان - متوقف و عدم كاربرد</t>
  </si>
  <si>
    <t xml:space="preserve"> جدول شماره 92 - عملكرد هزينه هاي واحدهاي مختلف به تفكيك نوع در سال1402</t>
  </si>
  <si>
    <t xml:space="preserve"> (میلیون ریال)</t>
  </si>
  <si>
    <t>ناحیه</t>
  </si>
  <si>
    <t>عملیاتی</t>
  </si>
  <si>
    <t>اداری</t>
  </si>
  <si>
    <t>بازرگانی</t>
  </si>
  <si>
    <t>دیون</t>
  </si>
  <si>
    <t>جمع هزینه‌های نقدی و جنسی</t>
  </si>
  <si>
    <t>درصد از کل</t>
  </si>
  <si>
    <t>استهلاک</t>
  </si>
  <si>
    <t>18- اداره کل راه آهن شمال (2)</t>
  </si>
  <si>
    <t>08- اداره کل راه آهن شمالشرق ( 1 )</t>
  </si>
  <si>
    <t>54-اداره کل خدمات ساختمانی و ایستگاهی</t>
  </si>
  <si>
    <t>03- اداره کل راه آهن زاگرس</t>
  </si>
  <si>
    <t>55- اداره کل ارتباطات وعلایم الکتریکی</t>
  </si>
  <si>
    <t>64- اداره کل نیروی کشش</t>
  </si>
  <si>
    <t>16- اداره کل راه آهن فارس</t>
  </si>
  <si>
    <t>13- اداره کل راه آهن هرمزگان</t>
  </si>
  <si>
    <t>20- اداره کل راه آهن شمالشرق (2)</t>
  </si>
  <si>
    <t>12- اداره کل راه آهن شمال</t>
  </si>
  <si>
    <t>10- اداره کل راه آهن شمالغرب</t>
  </si>
  <si>
    <t>02- اداره کل راه آهن اراک</t>
  </si>
  <si>
    <t>04-اداره کل راه آهن جنوب</t>
  </si>
  <si>
    <t>01- اداره کل راه آهن تهران</t>
  </si>
  <si>
    <t>15- اداره کل راه آهن کرمان</t>
  </si>
  <si>
    <t>05- اداره کل راه آهن اصفهان</t>
  </si>
  <si>
    <t>14- اداره کل راه آهن شرق ( طبس)</t>
  </si>
  <si>
    <t>07- اداره کل راه آهن جنوبشرق(زاهدان)</t>
  </si>
  <si>
    <t>09- اداره کل راه آهن خراسان</t>
  </si>
  <si>
    <t>06- اداره کل راه آهن یزد</t>
  </si>
  <si>
    <t>51 -اداره کل خط و سازه‌های فنی</t>
  </si>
  <si>
    <t>19- اداره کل راه آهن قم</t>
  </si>
  <si>
    <t>65- اداره کل واگنهای باری</t>
  </si>
  <si>
    <t>56- اداره امور مالی ادارات مرکزی</t>
  </si>
  <si>
    <t>11- اداره کل راه آهن آذربایجان</t>
  </si>
  <si>
    <t>17-اداره کل راه آهن لرستان</t>
  </si>
  <si>
    <t>توضیحات : اطلاعات جدول فوق بر اساس سیستم حسابداری شرکت راه آهن تهیه شده است .</t>
  </si>
  <si>
    <t>ماخذ :  اداره كل امور مالي و اموال</t>
  </si>
  <si>
    <t>جدول شماره93 - عملكرد هزينه ها به تفكيك نوع در سال 1402</t>
  </si>
  <si>
    <t>(ميليون ريال)</t>
  </si>
  <si>
    <t>عملياتي</t>
  </si>
  <si>
    <t>اداري</t>
  </si>
  <si>
    <t>بازرگاني</t>
  </si>
  <si>
    <t xml:space="preserve">حقوق و دستمزد و مزايا </t>
  </si>
  <si>
    <t xml:space="preserve">بيمه سهم كارفرما و بيمه بيكاري </t>
  </si>
  <si>
    <t xml:space="preserve">مزاياي پايان خدمت </t>
  </si>
  <si>
    <t>ملبوس</t>
  </si>
  <si>
    <t>اياب و ذهاب</t>
  </si>
  <si>
    <t xml:space="preserve">هزينه تعمير و نگهداري </t>
  </si>
  <si>
    <t>سوخت وسائل و ماشين الات</t>
  </si>
  <si>
    <t>هزينه لوازم مصرفي اداري و نوشت افزار</t>
  </si>
  <si>
    <t xml:space="preserve">هزينه آب . برق </t>
  </si>
  <si>
    <t>هزينه پست . تلفن . تلگراف</t>
  </si>
  <si>
    <t>هزينه اجاره</t>
  </si>
  <si>
    <t>عوارض و ماليات</t>
  </si>
  <si>
    <t>مطبوعات اداري ( چاپ و تكثير )</t>
  </si>
  <si>
    <t>هزينه جشن وپذيرايي</t>
  </si>
  <si>
    <t>هزينه خدمات قراردادي</t>
  </si>
  <si>
    <t>حق الزحمه حسابرسي</t>
  </si>
  <si>
    <t>هزينه هاي نرم افزاري</t>
  </si>
  <si>
    <t>حق الزحمه حقوقي</t>
  </si>
  <si>
    <t xml:space="preserve">هزينه حمل و نقل اداري </t>
  </si>
  <si>
    <t xml:space="preserve">هزينه هاي آگهي و تبليغات </t>
  </si>
  <si>
    <t>لوازم يدكي وسائط نقليه</t>
  </si>
  <si>
    <t xml:space="preserve">بيمه وسائط ساختمان ، تاسیسات ، ماشین آلات و و سائط نقلیه </t>
  </si>
  <si>
    <t>روغن هاي مختلف لكو موتيو و غیره</t>
  </si>
  <si>
    <t xml:space="preserve">كمك هزينه بهداشتي و درماني </t>
  </si>
  <si>
    <t>هزينه هاي ورزش</t>
  </si>
  <si>
    <t>مواد پاك كننده و لوازم تنظيف</t>
  </si>
  <si>
    <t>ابزار كار و لوازم آزمايشگاه</t>
  </si>
  <si>
    <t>كمك هزينه غذا و شير</t>
  </si>
  <si>
    <t>ساير هزينه ها</t>
  </si>
  <si>
    <t>هزینه مالی</t>
  </si>
  <si>
    <t>پرداخت قانونی به بازنشستگان</t>
  </si>
  <si>
    <t>حق توقف واگن ها</t>
  </si>
  <si>
    <t>استهلاك داراييهاي ثابت مشهود</t>
  </si>
  <si>
    <t>کمک زیان بخش مسافری</t>
  </si>
  <si>
    <t>بلیط اداری</t>
  </si>
  <si>
    <t xml:space="preserve">     توضیحات : اطلاعات ارائه شده در جدول فوق بر اساس سیستم قیمت تمام شده (هزینه یابی بر مبنای فعالیت ) تهیه شده است .</t>
  </si>
  <si>
    <t>جدول شماره94 - جمع هزينه هاي جاري راه آهن در سال 1402</t>
  </si>
  <si>
    <t>مبلغ هزينه</t>
  </si>
  <si>
    <t>هزينه هاي عملياتي</t>
  </si>
  <si>
    <t xml:space="preserve">هزينه هاي اداري </t>
  </si>
  <si>
    <t>هزينه هاي بازرگاني</t>
  </si>
  <si>
    <t>ديون</t>
  </si>
  <si>
    <t>هزينه هاي استهلاك</t>
  </si>
  <si>
    <t>هزينه هاي مالي *</t>
  </si>
  <si>
    <t xml:space="preserve">  *  هزينه هاي مالي شامل هزينه هايي است كه به واسطه پرداخت سود اوراق قرضه و مشاركت و همچنين بهره تسهیلات دريافتي به شركت تحميل مي گردد.</t>
  </si>
  <si>
    <t xml:space="preserve">      ماخذ : اداره كل امور مالي واموال</t>
  </si>
  <si>
    <t>جدول شماره 80 - درآمد حمل بار به تفكيك ماه و مناطق در سال 1402</t>
  </si>
  <si>
    <t>درآمدداخلي</t>
  </si>
  <si>
    <t>درآمدخارجي</t>
  </si>
  <si>
    <t>وارده وصادره</t>
  </si>
  <si>
    <t>ترانزيت</t>
  </si>
  <si>
    <t>جدول شماره 81 - درآمد حمل بار ترانزيت به تفکیک ماه و مناطق درسال 1402</t>
  </si>
  <si>
    <t>(هزار ريال)</t>
  </si>
  <si>
    <t xml:space="preserve">اراك </t>
  </si>
  <si>
    <t>ماخذ : سيستم مكانيزه بارنامه بين الملل (اداره کل امور مالي و اموال)</t>
  </si>
  <si>
    <t>جدول شماره 82 - درآمد حمل بارترانزیت درسال 1402 و مقايسه آن با سال قبل</t>
  </si>
  <si>
    <t xml:space="preserve">اراک </t>
  </si>
  <si>
    <t>ماخذ : سيستم مكانيزه بارنامه بين الملل ( اداره کل امور مالي و اموال)</t>
  </si>
  <si>
    <t>جدول شماره85 - درآمد وارده و صادره به تفكيك ماه و مناطق در سال 1402</t>
  </si>
  <si>
    <t>جدول شماره 86 - درآمد كل  ایجادشده حمل بار به تفكيك ماه و مناطق در سال 1402</t>
  </si>
  <si>
    <t xml:space="preserve">میلیون ریال </t>
  </si>
  <si>
    <t>جدول شماره 89 - سایر درآمدها به تفكيك ادارات كل در سال 1402</t>
  </si>
  <si>
    <t>درآمد اجاره داراييها</t>
  </si>
  <si>
    <t>درآمد تامين نيروي كشش(مسافري)</t>
  </si>
  <si>
    <t>ساير درآمدهاي غير عملياتي</t>
  </si>
  <si>
    <t>ساير درآمدهاي عملياتي</t>
  </si>
  <si>
    <t xml:space="preserve"> اداره کل راه آهن تهران</t>
  </si>
  <si>
    <t xml:space="preserve"> اداره کل راه آهن اراک</t>
  </si>
  <si>
    <t xml:space="preserve"> اداره کل راه آهن زاگرس </t>
  </si>
  <si>
    <t>اداره کل راه آهن جنوب</t>
  </si>
  <si>
    <t xml:space="preserve"> اداره کل راه آهن اصفهان</t>
  </si>
  <si>
    <t xml:space="preserve"> اداره کل راه آهن يزد</t>
  </si>
  <si>
    <t xml:space="preserve"> اداره کل راه آهن جنوبشرق</t>
  </si>
  <si>
    <t xml:space="preserve"> اداره کل راه آهن شمالشرق ( 1 )</t>
  </si>
  <si>
    <t xml:space="preserve"> اداره کل راه آهن خراسان</t>
  </si>
  <si>
    <t xml:space="preserve"> اداره کل راه آهن شمالغرب</t>
  </si>
  <si>
    <t xml:space="preserve"> اداره کل راه آهن آذربايجان</t>
  </si>
  <si>
    <t xml:space="preserve"> اداره کل راه آهن شمال</t>
  </si>
  <si>
    <t xml:space="preserve"> اداره کل راه آهن هرمزگان</t>
  </si>
  <si>
    <t xml:space="preserve"> اداره کل راه آهن شرق </t>
  </si>
  <si>
    <t xml:space="preserve"> اداره کل راه آهن کرمان</t>
  </si>
  <si>
    <t xml:space="preserve"> اداره کل راه آهن فارس</t>
  </si>
  <si>
    <t xml:space="preserve">اداره کل راه آهن لرستان </t>
  </si>
  <si>
    <t xml:space="preserve">اداره کل راه آهن شمال (2) </t>
  </si>
  <si>
    <t xml:space="preserve"> اداره كل راه آهن قم</t>
  </si>
  <si>
    <t xml:space="preserve"> اداره كل راه آهن شمالشرق (2)</t>
  </si>
  <si>
    <t xml:space="preserve"> اداره کل کارخانجات باسازي لکوموتيو کرج</t>
  </si>
  <si>
    <t xml:space="preserve"> اداره کل خط و سازه هاي فني</t>
  </si>
  <si>
    <t>اداره کل ساختمان و تاسيسات</t>
  </si>
  <si>
    <t xml:space="preserve"> اداره کل ارتباطات وعلايم الکتريکي</t>
  </si>
  <si>
    <t>مديريت خدمات عمومي ساختمان مركزي</t>
  </si>
  <si>
    <t>مديريت پروژه شهرداري سايت راه آهن</t>
  </si>
  <si>
    <t xml:space="preserve"> اداره کل نيروي کشش</t>
  </si>
  <si>
    <t xml:space="preserve"> اداره کل واگنها</t>
  </si>
  <si>
    <t xml:space="preserve"> اداره امور مالي ادارات مرکزي</t>
  </si>
  <si>
    <r>
      <t xml:space="preserve">جدول شماره  </t>
    </r>
    <r>
      <rPr>
        <b/>
        <sz val="14"/>
        <color indexed="18"/>
        <rFont val="B Nazanin"/>
        <charset val="178"/>
      </rPr>
      <t>77</t>
    </r>
    <r>
      <rPr>
        <b/>
        <sz val="14"/>
        <color indexed="62"/>
        <rFont val="B Nazanin"/>
        <charset val="178"/>
      </rPr>
      <t>- خلاصه آمار مقايسه اي دوره هاي آموزشي در مرکز و مناطق در سال 1401 - 1402</t>
    </r>
  </si>
  <si>
    <t>عنوان دوره آموزشي</t>
  </si>
  <si>
    <t>کل نفرات</t>
  </si>
  <si>
    <t>نفر- ساعت</t>
  </si>
  <si>
    <t>تعداد کل دوره</t>
  </si>
  <si>
    <t>ضمن خدمت ( بازآموزي و ارتقايي): 
سير و حرکت-خط و ابنيه-ناوگان-علائم الکتريکي-مالي و اداري, ایمنی )</t>
  </si>
  <si>
    <t>ارتقاي ايمني ( سيار - کارگاهي-اجباري)</t>
  </si>
  <si>
    <t>ويژه شرکت ها و پيمانکاران ريلي</t>
  </si>
  <si>
    <t xml:space="preserve">فناوری اطلاعات و دولت الکترونیک </t>
  </si>
  <si>
    <t>مجري موسسات آموزشي خارج از راه آهن</t>
  </si>
  <si>
    <t>بهبود مديريت</t>
  </si>
  <si>
    <t>پدافند غير عامل</t>
  </si>
  <si>
    <t>فرهنگي - اجتماعي و ...</t>
  </si>
  <si>
    <t>نوع دوره</t>
  </si>
  <si>
    <t>سال 1401</t>
  </si>
  <si>
    <t>سال 1402</t>
  </si>
  <si>
    <t>برگزاری دوره های تخصصی (نفر- ساعت)</t>
  </si>
  <si>
    <t>برگزاری دوره های عمومی (نفر- ساعت)</t>
  </si>
  <si>
    <t xml:space="preserve">ماخذ :  مركز آموزش های تخصصی ریلی </t>
  </si>
  <si>
    <t>جدول شماره 78 - تعدادفارغ التحصيلان مركزآموزش در داخل وخارج از راه آهن در ده سال اخير</t>
  </si>
  <si>
    <t>تعدادفارغ التحصيل</t>
  </si>
  <si>
    <t>جدول شماره 79 - تعداد هنرجويان مركز آموزش درسال 1402</t>
  </si>
  <si>
    <t>داخل راه آهن</t>
  </si>
  <si>
    <t>خارج ازراه آهن</t>
  </si>
  <si>
    <t>فناوری اطلاعات و دولت الکترونیک</t>
  </si>
  <si>
    <t>اتمام دوره با ارائه گواهي</t>
  </si>
  <si>
    <t>اتمام دوره بدون ارائه گواهي</t>
  </si>
  <si>
    <t xml:space="preserve">ماخذ : مركز آموزش های تخصصی ریلی </t>
  </si>
  <si>
    <t>جدول شماره  106  -عملکرد حمل ونقل بارداخلی ده شركت با بیشترین جابجایی بار در سالهاي 1402- 1401</t>
  </si>
  <si>
    <t>ده شرکت برتر سال 1402</t>
  </si>
  <si>
    <t>ده شرکت برتر سال 1401</t>
  </si>
  <si>
    <t>تن كيلومتر(میلیون)</t>
  </si>
  <si>
    <t>تناژ(هزارتن)</t>
  </si>
  <si>
    <t>شرکت</t>
  </si>
  <si>
    <t>شرکت توکا ریل</t>
  </si>
  <si>
    <t>شرکت راه آهن حمل و نقل</t>
  </si>
  <si>
    <t>شرکت چندوجهی فولاد لجستیک</t>
  </si>
  <si>
    <t>شرکت تجارت کوشش سپاهان</t>
  </si>
  <si>
    <t>شرکت آسیا سیر ارس</t>
  </si>
  <si>
    <t>شرکت بهتاش سپاهان</t>
  </si>
  <si>
    <t>شرکت توسعه حمل و نقل بین المللی پارسیان</t>
  </si>
  <si>
    <t>شرکت پارسیان ریل شرق</t>
  </si>
  <si>
    <t>شرکت حمل و نقل ترکیبی کشتیرانی</t>
  </si>
  <si>
    <t>شرکت خدمات توکا کشش</t>
  </si>
  <si>
    <t>شرکت پرتو بار فرابر خلیج فارس</t>
  </si>
  <si>
    <t>شرکت سریر لجستیک هوشمند ایرانیان</t>
  </si>
  <si>
    <t>جمع سایر شرکتها</t>
  </si>
  <si>
    <t>ماخذ سیستم BOL</t>
  </si>
  <si>
    <t xml:space="preserve">شرکت </t>
  </si>
  <si>
    <t>ماخذ : سیستم بارنامه بین الملل</t>
  </si>
  <si>
    <t>جدول شماره 107  -عملکرد حمل ونقل بار بين الملل ده شركت با بیشترین جابجایی بار در سالهاي  1401-1402</t>
  </si>
  <si>
    <t>ده شرکت با بیشترین تناژ حمل در سال 1402</t>
  </si>
  <si>
    <t>ده شرکت با بیشترین تناژ حمل در سال 1401</t>
  </si>
  <si>
    <t>سهند لجستیک</t>
  </si>
  <si>
    <t>حمل و نقل بين المللي درياداران طوس</t>
  </si>
  <si>
    <t>اسپاد ترابر ويرا</t>
  </si>
  <si>
    <t>سيمان زاوه تربت</t>
  </si>
  <si>
    <t>حمل و نقل بين المللي جاده ابريشم</t>
  </si>
  <si>
    <t>بانی راه توس</t>
  </si>
  <si>
    <t>واگن بار آسيا</t>
  </si>
  <si>
    <t>گوهرنگار طوس</t>
  </si>
  <si>
    <t>مهراب سهراب ترابر غرب</t>
  </si>
  <si>
    <t>بهينه ترابرآژور</t>
  </si>
  <si>
    <t>خورشيدبارثاوا</t>
  </si>
  <si>
    <t>(ارقام به ميليون ريال)</t>
  </si>
  <si>
    <t>عنوان طرح</t>
  </si>
  <si>
    <t>اعتبار نهایی</t>
  </si>
  <si>
    <t xml:space="preserve"> عملکرد</t>
  </si>
  <si>
    <t>درصد عملکرد به اعتبار ابلاغی</t>
  </si>
  <si>
    <t>درصد عملکرد به اعتبار اصلاحی</t>
  </si>
  <si>
    <t xml:space="preserve">منابع نقدي </t>
  </si>
  <si>
    <t>منابع غيرنقدي</t>
  </si>
  <si>
    <t xml:space="preserve"> جمع کل </t>
  </si>
  <si>
    <t>بهسازي و نوسازي علائم و ارتباطات</t>
  </si>
  <si>
    <t>رفع گلوگاههاي ظرفيتي خطوط راه آهن</t>
  </si>
  <si>
    <t>بهسازي ناوگان راه آهن</t>
  </si>
  <si>
    <t xml:space="preserve">بهسازی و نوسازی ایستگاههای راه آهن  </t>
  </si>
  <si>
    <t>بهسازي ، نوسازي و نگهداري خطوط راه آهن</t>
  </si>
  <si>
    <t>احداث قطار حومه اي تهران ـ ورامين ـ پيشوا ـ گرمسار</t>
  </si>
  <si>
    <t>احداث خط دوم راه آهن تهران ـ ميانه ـ تبريز</t>
  </si>
  <si>
    <t>راه آهن سريع السير تهران ـ قم ـ اصفهان و قم ـ اراك</t>
  </si>
  <si>
    <t>احداث راه آهن شيراز ـ اصفهان</t>
  </si>
  <si>
    <t>احداث راه آهن كرمان ـ زاهدان</t>
  </si>
  <si>
    <t>برقي كردن راه آهن گرمسار ـ گرگان ـ اينچه برون</t>
  </si>
  <si>
    <t>برقي كردن راه آهن تهران - مشهد</t>
  </si>
  <si>
    <t>توسعه حمل و نقل با راه آهن- بهينه سازي مصرف انرژي</t>
  </si>
  <si>
    <t xml:space="preserve">كمكهاي فني و اعتباري حمل و نقل راه آهن </t>
  </si>
  <si>
    <t xml:space="preserve">مطالعه و اجراي مقاوم سازي شريان حياتي شبكه راه آهن كشور </t>
  </si>
  <si>
    <t>افزايش ظرفيت حمل مسافر</t>
  </si>
  <si>
    <t>احداث راه آهن  سيرجان ـ  كرمان</t>
  </si>
  <si>
    <t>مطالعه، طراحی و اجراي خطوط ریلی از بندر امام خمینی (ره)-ماهشهر به شهرستانهای  رامشیر و رامهرمز به سمت شهرستان بهبهان و نور آباد ممسنی</t>
  </si>
  <si>
    <t>ماخذ : دفتر برنامه ريزي و بودجه و ذیحسابی طرحهای عمرانی</t>
  </si>
  <si>
    <t>جدول شماره 87 - ميزان اعتبار و پرداختهای طرحهای تملک داراییهای سرمایه ای در ده سال اخير</t>
  </si>
  <si>
    <t>اعتبار ابلاغی</t>
  </si>
  <si>
    <t>اعتبار اصلاحی</t>
  </si>
  <si>
    <t>مجموع عملکرد نقدی و غیر نقدی</t>
  </si>
  <si>
    <t>درصد عملکرد به اعتبارابلاغی</t>
  </si>
  <si>
    <t>توضیح1: اطلاعات فوق صرفاْ از محل منابع عمومی می باشند.</t>
  </si>
  <si>
    <t xml:space="preserve">جدول شماره 86 - ميزان اعتبار و پرداختی طرحهای تملک داراییهای سرمایه ای در سال1402 </t>
  </si>
  <si>
    <t>احداث قطار حومه اي تهران - قم و آنتنی فرودگاه امام خمینی و احداث راه آهن کمربندی قم و انتقال 
و جمع آوري راه آهن از داخل شهر قم</t>
  </si>
  <si>
    <t>احداث خط دوم وافزايش ظرفيت ورفع گلوگاههاي ظرفيتي مجوربافق- سنگان</t>
  </si>
  <si>
    <r>
      <t xml:space="preserve">مطالعه راه آهن غرب بندرعباس </t>
    </r>
    <r>
      <rPr>
        <b/>
        <sz val="10"/>
        <color rgb="FFFF0000"/>
        <rFont val="B Nazanin"/>
        <charset val="178"/>
      </rPr>
      <t>(طرح استانی)</t>
    </r>
  </si>
  <si>
    <r>
      <t xml:space="preserve">طرح مطالعه راههاي روستايي،مطالعه راه هاي فرعي و راههاي اصلي درجه 2 غير شرياني </t>
    </r>
    <r>
      <rPr>
        <b/>
        <sz val="10"/>
        <color rgb="FFFF0000"/>
        <rFont val="B Nazanin"/>
        <charset val="178"/>
      </rPr>
      <t>(طرح استانی)</t>
    </r>
  </si>
  <si>
    <t>توضیح2: عملکرد اعلام شده بابت سال 1402 ، تا تاریخ 1402/12/29 می باشد.</t>
  </si>
  <si>
    <t>جدول شماره 50 - آمار مصرف سوخت گازوئیل در سالهای 1401-1402 (هزار لیتر )</t>
  </si>
  <si>
    <t>جدول شماره 49 - آمارمصرف سوخت گازوئيل توسط لکوموتیوها  درسال 1402 و مقايسه آن با سال قبل</t>
  </si>
  <si>
    <t>ماخذ :  اداره كل تدارکات و پشتیبانی (سیستم مکانیزه انبارها )</t>
  </si>
  <si>
    <t>_</t>
  </si>
  <si>
    <t>جدول شماره 5 - مقايسه كالاهاي ترانزيتي حمل شده به تفكيك نفتي وغيرنفتي در سالهاي 1402 - 1401</t>
  </si>
  <si>
    <t>جدول شماره 16 - تناژبار بارگيري شده به تفكيك ماه و مناطق در سال 1402</t>
  </si>
  <si>
    <t xml:space="preserve"> به تفكيك مناطق در سال 1402   </t>
  </si>
  <si>
    <t>جدول شماره 21 - تن كيلومتر بار  مرزي به تفكيك ماه و مناطق در سال 1402</t>
  </si>
  <si>
    <t xml:space="preserve"> به تفكيك ماه درسال 1402        </t>
  </si>
  <si>
    <t>جدول شماره 2 - خلاصه آمار راه آهن</t>
  </si>
  <si>
    <t xml:space="preserve">به تفكيك ماه درسال 1402 </t>
  </si>
  <si>
    <t>جدول شماره 3 - خلاصه آمار راه آهن</t>
  </si>
  <si>
    <t xml:space="preserve">به تفكيك مناطق درسال 1402      </t>
  </si>
  <si>
    <t>میلیاردریال</t>
  </si>
  <si>
    <t>جدول شماره 4 - كالاهاي ترانزيتي حمل شده به تفكيك مرز ورود وخروج درسال 1402</t>
  </si>
  <si>
    <t xml:space="preserve">جدول شماره 18 - تناژ بار بارگيري شده </t>
  </si>
  <si>
    <t xml:space="preserve">به تفكيك ماه در سال 1402    </t>
  </si>
  <si>
    <t>جدول شماره 19 - تناژ بار بارگيري شده</t>
  </si>
  <si>
    <t>جدول شماره 23 - تن كيلومتر بار بارگيري شده</t>
  </si>
  <si>
    <t>( مبدا - مقصد) به تفكيك ماه در سال 1402</t>
  </si>
  <si>
    <t>جدول شماره 24 - تن كيلومتر بار بارگيري شده</t>
  </si>
  <si>
    <t>( مبدا - مقصد ) به تفكيك مناطق درسال  1402</t>
  </si>
  <si>
    <t xml:space="preserve">میزان جابجایی مسافر در سال 1402 نسبت به سال قبل 7 درصد افزایش داشته است که علت افزایش با توجه به کاهش 3.3 درصدی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</si>
</sst>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 * #,##0.00_-_ر_ي_ا_ل_ ;_ * #,##0.00\-_ر_ي_ا_ل_ ;_ * &quot;-&quot;??_-_ر_ي_ا_ل_ ;_ @_ "/>
    <numFmt numFmtId="165" formatCode="_-&quot;$&quot;\ * #,##0.00_-;_-&quot;$&quot;\ * #,##0.00\-;_-&quot;$&quot;\ * &quot;-&quot;??_-;_-@_-"/>
    <numFmt numFmtId="166" formatCode="#,##0_ ;\-#,##0\ "/>
    <numFmt numFmtId="167" formatCode="#,##0.00_ ;\-#,##0.00\ "/>
    <numFmt numFmtId="168" formatCode="0.000"/>
    <numFmt numFmtId="169" formatCode="0.0"/>
    <numFmt numFmtId="170" formatCode="#,##0.0"/>
    <numFmt numFmtId="171" formatCode="0.0000"/>
    <numFmt numFmtId="172" formatCode="_(* #,##0.00_);_(* \(#,##0.00\);_(* &quot;-&quot;??_);_(@_)"/>
    <numFmt numFmtId="173" formatCode="_-* #,##0_-;_-* #,##0\-;_-* &quot;-&quot;??_-;_-@_-"/>
    <numFmt numFmtId="174" formatCode="0.0%"/>
    <numFmt numFmtId="175" formatCode="#,##0.000"/>
    <numFmt numFmtId="176" formatCode="0.0000000"/>
    <numFmt numFmtId="177" formatCode="_-* #,##0.00_-;_-* #,##0.00\-;_-* &quot;-&quot;??_-;_-@_-"/>
    <numFmt numFmtId="178" formatCode="#\,##0"/>
    <numFmt numFmtId="179" formatCode="_-[$€-2]\ * #,##0.00_-;_-[$€-2]\ * #,##0.00\-;_-[$€-2]\ * &quot;-&quot;??_-"/>
    <numFmt numFmtId="180" formatCode="0_ ;\-0\ "/>
    <numFmt numFmtId="181" formatCode="_(* #,##0_);_(* \(#,##0\);_(* &quot;-&quot;??_);_(@_)"/>
    <numFmt numFmtId="182" formatCode="0.000000"/>
    <numFmt numFmtId="183" formatCode="_ * #,##0_-_ر_ي_ا_ل_ ;_ * #,##0\-_ر_ي_ا_ل_ ;_ * &quot;-&quot;??_-_ر_ي_ا_ل_ ;_ @_ "/>
    <numFmt numFmtId="184" formatCode="###\+###"/>
    <numFmt numFmtId="185" formatCode="#,##0,,"/>
    <numFmt numFmtId="186" formatCode="#,##0.00,,"/>
    <numFmt numFmtId="187" formatCode="[$-3000401]#,##0"/>
    <numFmt numFmtId="188" formatCode="#,##0.000,,"/>
    <numFmt numFmtId="189" formatCode="#,##0,"/>
    <numFmt numFmtId="190" formatCode="[$-10409]#,##0;\-\ #,##0"/>
    <numFmt numFmtId="191" formatCode="_-* #\,##0.00_-;_-* #\,##0.00\-;_-* &quot;-&quot;??_-;_-@_-"/>
  </numFmts>
  <fonts count="21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B Roya"/>
      <charset val="178"/>
    </font>
    <font>
      <sz val="10"/>
      <name val="B Nazanin"/>
      <charset val="178"/>
    </font>
    <font>
      <b/>
      <sz val="16"/>
      <color indexed="56"/>
      <name val="B Nazanin"/>
      <charset val="178"/>
    </font>
    <font>
      <b/>
      <sz val="14"/>
      <name val="B Nazanin"/>
      <charset val="178"/>
    </font>
    <font>
      <b/>
      <sz val="10"/>
      <name val="B Nazanin"/>
      <charset val="178"/>
    </font>
    <font>
      <b/>
      <sz val="8"/>
      <name val="B Nazanin"/>
      <charset val="178"/>
    </font>
    <font>
      <sz val="12"/>
      <name val="B Nazanin"/>
      <charset val="178"/>
    </font>
    <font>
      <sz val="10"/>
      <name val="Arial"/>
      <family val="2"/>
    </font>
    <font>
      <b/>
      <sz val="13"/>
      <name val="B Nazanin"/>
      <charset val="178"/>
    </font>
    <font>
      <b/>
      <sz val="10"/>
      <color indexed="10"/>
      <name val="B Nazanin"/>
      <charset val="178"/>
    </font>
    <font>
      <b/>
      <sz val="9"/>
      <name val="B Nazanin"/>
      <charset val="178"/>
    </font>
    <font>
      <b/>
      <sz val="12"/>
      <name val="B Nazanin"/>
      <charset val="178"/>
    </font>
    <font>
      <sz val="11"/>
      <name val="B Nazanin"/>
      <charset val="178"/>
    </font>
    <font>
      <sz val="11"/>
      <color theme="1"/>
      <name val="Tahoma"/>
      <family val="2"/>
    </font>
    <font>
      <b/>
      <sz val="9"/>
      <color indexed="10"/>
      <name val="B Nazanin"/>
      <charset val="178"/>
    </font>
    <font>
      <sz val="10"/>
      <color indexed="10"/>
      <name val="B Nazanin"/>
      <charset val="178"/>
    </font>
    <font>
      <b/>
      <sz val="14"/>
      <color rgb="FF000099"/>
      <name val="B Nazanin"/>
      <charset val="178"/>
    </font>
    <font>
      <b/>
      <sz val="11"/>
      <name val="B Nazanin"/>
      <charset val="178"/>
    </font>
    <font>
      <b/>
      <sz val="9"/>
      <color rgb="FFC00000"/>
      <name val="B Nazanin"/>
      <charset val="178"/>
    </font>
    <font>
      <b/>
      <sz val="9"/>
      <color theme="1"/>
      <name val="B Nazanin"/>
      <charset val="178"/>
    </font>
    <font>
      <b/>
      <sz val="14"/>
      <color indexed="62"/>
      <name val="B Nazanin"/>
      <charset val="178"/>
    </font>
    <font>
      <sz val="20"/>
      <name val="B Nazanin"/>
      <charset val="178"/>
    </font>
    <font>
      <sz val="10"/>
      <color theme="0"/>
      <name val="B Nazanin"/>
      <charset val="178"/>
    </font>
    <font>
      <sz val="10"/>
      <color indexed="62"/>
      <name val="B Nazanin"/>
      <charset val="178"/>
    </font>
    <font>
      <sz val="10"/>
      <color indexed="56"/>
      <name val="B Nazanin"/>
      <charset val="178"/>
    </font>
    <font>
      <b/>
      <sz val="10.5"/>
      <color indexed="18"/>
      <name val="B Nazanin"/>
      <charset val="178"/>
    </font>
    <font>
      <sz val="10"/>
      <color indexed="18"/>
      <name val="B Nazanin"/>
      <charset val="178"/>
    </font>
    <font>
      <sz val="11"/>
      <color rgb="FFFF0000"/>
      <name val="B Nazanin"/>
      <charset val="178"/>
    </font>
    <font>
      <sz val="8"/>
      <name val="B Nazanin"/>
      <charset val="178"/>
    </font>
    <font>
      <sz val="10"/>
      <color indexed="9"/>
      <name val="B Nazanin"/>
      <charset val="178"/>
    </font>
    <font>
      <sz val="9"/>
      <name val="Tahoma"/>
      <family val="2"/>
    </font>
    <font>
      <sz val="10"/>
      <color rgb="FF000080"/>
      <name val="Tahoma"/>
      <family val="2"/>
    </font>
    <font>
      <b/>
      <sz val="12"/>
      <color rgb="FF000080"/>
      <name val="Arial"/>
      <family val="2"/>
    </font>
    <font>
      <b/>
      <sz val="12"/>
      <name val="Arial"/>
      <family val="2"/>
    </font>
    <font>
      <b/>
      <sz val="12"/>
      <color rgb="FF800000"/>
      <name val="Arial"/>
      <family val="2"/>
    </font>
    <font>
      <b/>
      <sz val="10"/>
      <name val="Arial"/>
      <family val="2"/>
    </font>
    <font>
      <sz val="10"/>
      <color rgb="FF800000"/>
      <name val="B Roya"/>
      <charset val="178"/>
    </font>
    <font>
      <b/>
      <sz val="12"/>
      <color rgb="FF000099"/>
      <name val="B Nazanin"/>
      <charset val="178"/>
    </font>
    <font>
      <sz val="9"/>
      <name val="B Nazanin"/>
      <charset val="178"/>
    </font>
    <font>
      <b/>
      <sz val="16"/>
      <color rgb="FF000099"/>
      <name val="B Nazanin"/>
      <charset val="178"/>
    </font>
    <font>
      <b/>
      <sz val="16"/>
      <color rgb="FFFF0000"/>
      <name val="B Nazanin"/>
      <charset val="178"/>
    </font>
    <font>
      <sz val="14"/>
      <name val="B Nazanin"/>
      <charset val="178"/>
    </font>
    <font>
      <b/>
      <sz val="10"/>
      <color rgb="FFFF0000"/>
      <name val="B Nazanin"/>
      <charset val="178"/>
    </font>
    <font>
      <b/>
      <sz val="11"/>
      <color theme="1"/>
      <name val="B Nazanin"/>
      <charset val="178"/>
    </font>
    <font>
      <sz val="14"/>
      <color indexed="10"/>
      <name val="B Nazanin"/>
      <charset val="178"/>
    </font>
    <font>
      <sz val="11"/>
      <color indexed="8"/>
      <name val="Calibri"/>
      <family val="2"/>
      <charset val="178"/>
    </font>
    <font>
      <sz val="14"/>
      <color indexed="8"/>
      <name val="Calibri"/>
      <family val="2"/>
      <charset val="178"/>
    </font>
    <font>
      <b/>
      <sz val="14"/>
      <name val="Arial"/>
      <family val="2"/>
      <charset val="178"/>
    </font>
    <font>
      <b/>
      <sz val="8"/>
      <color indexed="10"/>
      <name val="B Nazanin"/>
      <charset val="178"/>
    </font>
    <font>
      <sz val="22"/>
      <color indexed="10"/>
      <name val="B Nazanin"/>
      <charset val="178"/>
    </font>
    <font>
      <b/>
      <sz val="10"/>
      <color rgb="FF000099"/>
      <name val="B Nazanin"/>
      <charset val="178"/>
    </font>
    <font>
      <sz val="11"/>
      <color theme="1"/>
      <name val="B Nazanin"/>
      <charset val="178"/>
    </font>
    <font>
      <sz val="10"/>
      <color rgb="FFFF0000"/>
      <name val="B Nazanin"/>
      <charset val="178"/>
    </font>
    <font>
      <sz val="12"/>
      <color theme="1"/>
      <name val="B Nazanin"/>
      <charset val="178"/>
    </font>
    <font>
      <sz val="16"/>
      <name val="B Nazanin"/>
      <charset val="178"/>
    </font>
    <font>
      <b/>
      <sz val="16"/>
      <color indexed="62"/>
      <name val="B Nazanin"/>
      <charset val="178"/>
    </font>
    <font>
      <sz val="10"/>
      <color rgb="FF000099"/>
      <name val="B Nazanin"/>
      <charset val="178"/>
    </font>
    <font>
      <b/>
      <sz val="12"/>
      <color indexed="62"/>
      <name val="B Nazanin"/>
      <charset val="178"/>
    </font>
    <font>
      <sz val="8"/>
      <name val="Zar"/>
      <charset val="178"/>
    </font>
    <font>
      <b/>
      <sz val="16"/>
      <name val="B Nazanin"/>
      <charset val="178"/>
    </font>
    <font>
      <b/>
      <sz val="16"/>
      <name val="B Zar"/>
      <charset val="178"/>
    </font>
    <font>
      <sz val="14"/>
      <name val="B Roya"/>
      <charset val="178"/>
    </font>
    <font>
      <b/>
      <sz val="14"/>
      <name val="B Zar"/>
      <charset val="178"/>
    </font>
    <font>
      <b/>
      <sz val="10"/>
      <color theme="1"/>
      <name val="B Nazanin"/>
      <charset val="178"/>
    </font>
    <font>
      <sz val="14"/>
      <color theme="1"/>
      <name val="B Nazanin"/>
      <charset val="178"/>
    </font>
    <font>
      <b/>
      <sz val="10"/>
      <color indexed="62"/>
      <name val="B Nazanin"/>
      <charset val="178"/>
    </font>
    <font>
      <b/>
      <sz val="11"/>
      <color indexed="62"/>
      <name val="B Nazanin"/>
      <charset val="178"/>
    </font>
    <font>
      <sz val="11"/>
      <name val="Calibri"/>
      <family val="2"/>
    </font>
    <font>
      <b/>
      <sz val="11"/>
      <name val="Calibri"/>
      <family val="2"/>
    </font>
    <font>
      <b/>
      <sz val="20"/>
      <color indexed="62"/>
      <name val="B Nazanin"/>
      <charset val="178"/>
    </font>
    <font>
      <sz val="13"/>
      <name val="B Nazanin"/>
      <charset val="178"/>
    </font>
    <font>
      <sz val="13"/>
      <color theme="1"/>
      <name val="B Nazanin"/>
      <charset val="178"/>
    </font>
    <font>
      <b/>
      <sz val="13"/>
      <color indexed="62"/>
      <name val="B Nazanin"/>
      <charset val="178"/>
    </font>
    <font>
      <b/>
      <sz val="13"/>
      <color rgb="FF000099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Arial"/>
      <family val="2"/>
      <scheme val="minor"/>
    </font>
    <font>
      <b/>
      <sz val="12"/>
      <color theme="1"/>
      <name val="B Titr"/>
      <charset val="178"/>
    </font>
    <font>
      <b/>
      <sz val="12"/>
      <color theme="1"/>
      <name val="B Zar"/>
      <charset val="178"/>
    </font>
    <font>
      <sz val="10"/>
      <color theme="1"/>
      <name val="Arial"/>
      <family val="2"/>
      <scheme val="minor"/>
    </font>
    <font>
      <sz val="11"/>
      <color theme="1"/>
      <name val="B Zar"/>
      <charset val="178"/>
    </font>
    <font>
      <b/>
      <sz val="20"/>
      <color theme="1"/>
      <name val="B Zar"/>
      <charset val="178"/>
    </font>
    <font>
      <sz val="16"/>
      <color theme="1"/>
      <name val="B Zar"/>
      <charset val="178"/>
    </font>
    <font>
      <sz val="10"/>
      <color indexed="8"/>
      <name val="Arial"/>
      <family val="2"/>
    </font>
    <font>
      <sz val="42"/>
      <name val="B Ziba"/>
      <charset val="178"/>
    </font>
    <font>
      <sz val="9"/>
      <color indexed="81"/>
      <name val="Tahoma"/>
      <family val="2"/>
    </font>
    <font>
      <sz val="14"/>
      <color theme="1"/>
      <name val="B Zar"/>
      <charset val="178"/>
    </font>
    <font>
      <sz val="9"/>
      <color indexed="62"/>
      <name val="B Nazanin"/>
      <charset val="178"/>
    </font>
    <font>
      <b/>
      <sz val="11"/>
      <color rgb="FF000099"/>
      <name val="B Nazanin"/>
      <charset val="178"/>
    </font>
    <font>
      <sz val="16"/>
      <color theme="1"/>
      <name val="B Nazanin"/>
      <charset val="178"/>
    </font>
    <font>
      <sz val="14"/>
      <color theme="1"/>
      <name val="Arial"/>
      <family val="2"/>
      <charset val="178"/>
      <scheme val="minor"/>
    </font>
    <font>
      <b/>
      <sz val="14"/>
      <color theme="1"/>
      <name val="Arial"/>
      <family val="2"/>
      <charset val="178"/>
      <scheme val="minor"/>
    </font>
    <font>
      <sz val="10"/>
      <color theme="1"/>
      <name val="B Nazanin"/>
      <charset val="178"/>
    </font>
    <font>
      <sz val="9"/>
      <color theme="1"/>
      <name val="B Nazanin"/>
      <charset val="178"/>
    </font>
    <font>
      <u/>
      <sz val="9"/>
      <color indexed="8"/>
      <name val="B Nazanin"/>
      <charset val="178"/>
    </font>
    <font>
      <sz val="9"/>
      <color indexed="8"/>
      <name val="B Nazanin"/>
      <charset val="178"/>
    </font>
    <font>
      <u/>
      <sz val="10"/>
      <color indexed="8"/>
      <name val="B Nazanin"/>
      <charset val="178"/>
    </font>
    <font>
      <sz val="10"/>
      <color indexed="8"/>
      <name val="B Nazanin"/>
      <charset val="178"/>
    </font>
    <font>
      <b/>
      <sz val="9"/>
      <color theme="1"/>
      <name val="B Titr"/>
      <charset val="178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sz val="18"/>
      <name val="B Nazanin"/>
      <charset val="178"/>
    </font>
    <font>
      <b/>
      <sz val="11"/>
      <name val="Arial"/>
      <family val="2"/>
    </font>
    <font>
      <sz val="14"/>
      <color theme="1"/>
      <name val="Arial"/>
      <family val="2"/>
    </font>
    <font>
      <sz val="18"/>
      <name val="B Jalal"/>
      <charset val="178"/>
    </font>
    <font>
      <sz val="14"/>
      <color indexed="18"/>
      <name val="B Nazanin"/>
      <charset val="178"/>
    </font>
    <font>
      <b/>
      <sz val="14"/>
      <color indexed="18"/>
      <name val="B Nazanin"/>
      <charset val="178"/>
    </font>
    <font>
      <sz val="12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name val="B Roya"/>
      <charset val="178"/>
    </font>
    <font>
      <sz val="11"/>
      <color rgb="FFFF0000"/>
      <name val="Calibri"/>
      <family val="2"/>
    </font>
    <font>
      <b/>
      <sz val="10"/>
      <name val="B Koodak"/>
      <charset val="178"/>
    </font>
    <font>
      <sz val="13"/>
      <color indexed="8"/>
      <name val="B Nazanin"/>
      <charset val="178"/>
    </font>
    <font>
      <b/>
      <sz val="10"/>
      <color indexed="8"/>
      <name val="B Nazanin"/>
      <charset val="178"/>
    </font>
    <font>
      <sz val="12"/>
      <color indexed="62"/>
      <name val="B Nazanin"/>
      <charset val="178"/>
    </font>
    <font>
      <b/>
      <sz val="14"/>
      <name val="B Jalal"/>
      <charset val="178"/>
    </font>
    <font>
      <b/>
      <sz val="20"/>
      <name val="B Nazanin"/>
      <charset val="178"/>
    </font>
    <font>
      <sz val="11"/>
      <color indexed="62"/>
      <name val="B Nazanin"/>
      <charset val="178"/>
    </font>
    <font>
      <sz val="11"/>
      <color indexed="8"/>
      <name val="Arial"/>
      <family val="2"/>
      <charset val="178"/>
    </font>
    <font>
      <sz val="12"/>
      <color indexed="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Arial"/>
      <family val="2"/>
      <scheme val="minor"/>
    </font>
    <font>
      <b/>
      <sz val="12"/>
      <color indexed="8"/>
      <name val="B Nazanin"/>
      <charset val="17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B Nazanin"/>
      <charset val="178"/>
    </font>
    <font>
      <sz val="14"/>
      <color indexed="8"/>
      <name val="B Nazanin"/>
      <charset val="178"/>
    </font>
    <font>
      <sz val="16"/>
      <color indexed="8"/>
      <name val="B Nazanin"/>
      <charset val="178"/>
    </font>
    <font>
      <b/>
      <sz val="16"/>
      <color indexed="8"/>
      <name val="B Nazanin"/>
      <charset val="178"/>
    </font>
    <font>
      <b/>
      <sz val="22"/>
      <color rgb="FF000099"/>
      <name val="B Nazanin"/>
      <charset val="178"/>
    </font>
    <font>
      <sz val="10"/>
      <name val="Arial"/>
      <charset val="178"/>
    </font>
    <font>
      <sz val="12"/>
      <color indexed="62"/>
      <name val="B Yekan"/>
      <charset val="178"/>
    </font>
    <font>
      <sz val="12"/>
      <name val="B Yekan"/>
      <charset val="178"/>
    </font>
    <font>
      <b/>
      <sz val="12"/>
      <color indexed="9"/>
      <name val="B Yekan"/>
      <charset val="178"/>
    </font>
    <font>
      <b/>
      <sz val="12"/>
      <name val="B Yekan"/>
      <charset val="178"/>
    </font>
    <font>
      <sz val="10"/>
      <name val="B Yekan"/>
      <charset val="178"/>
    </font>
    <font>
      <b/>
      <sz val="11"/>
      <color indexed="62"/>
      <name val="B Yekan"/>
      <charset val="178"/>
    </font>
    <font>
      <sz val="10"/>
      <color indexed="62"/>
      <name val="B Yekan"/>
      <charset val="178"/>
    </font>
    <font>
      <sz val="12"/>
      <color indexed="10"/>
      <name val="B Yekan"/>
      <charset val="178"/>
    </font>
    <font>
      <sz val="14"/>
      <name val="B Yekan"/>
      <charset val="178"/>
    </font>
    <font>
      <b/>
      <sz val="7"/>
      <name val="B Nazanin"/>
      <charset val="178"/>
    </font>
    <font>
      <b/>
      <sz val="8"/>
      <color theme="1"/>
      <name val="B Nazanin"/>
      <charset val="178"/>
    </font>
    <font>
      <b/>
      <sz val="9"/>
      <color theme="0"/>
      <name val="B Nazanin"/>
      <charset val="178"/>
    </font>
    <font>
      <b/>
      <sz val="10"/>
      <color theme="0"/>
      <name val="B Nazanin"/>
      <charset val="178"/>
    </font>
    <font>
      <b/>
      <sz val="16"/>
      <color theme="0"/>
      <name val="B Nazanin"/>
      <charset val="178"/>
    </font>
    <font>
      <sz val="9"/>
      <color indexed="9"/>
      <name val="B Nazanin"/>
      <charset val="178"/>
    </font>
    <font>
      <sz val="9"/>
      <color theme="0"/>
      <name val="B Nazanin"/>
      <charset val="178"/>
    </font>
    <font>
      <b/>
      <sz val="8"/>
      <color indexed="8"/>
      <name val="B Nazanin"/>
      <charset val="178"/>
    </font>
    <font>
      <b/>
      <sz val="20"/>
      <color rgb="FF000099"/>
      <name val="B Nazanin"/>
      <charset val="178"/>
    </font>
    <font>
      <b/>
      <sz val="13"/>
      <color theme="1"/>
      <name val="B Nazanin"/>
      <charset val="178"/>
    </font>
    <font>
      <b/>
      <sz val="13"/>
      <color theme="1"/>
      <name val="B Mehr"/>
      <charset val="178"/>
    </font>
    <font>
      <b/>
      <sz val="13"/>
      <name val="B Mehr"/>
      <charset val="178"/>
    </font>
    <font>
      <b/>
      <sz val="10"/>
      <name val="B Mitra"/>
      <charset val="178"/>
    </font>
    <font>
      <sz val="12"/>
      <name val="B Zar"/>
      <charset val="178"/>
    </font>
    <font>
      <sz val="12"/>
      <color theme="1"/>
      <name val="B Zar"/>
      <charset val="178"/>
    </font>
    <font>
      <u/>
      <sz val="10"/>
      <color theme="10"/>
      <name val="Arial"/>
      <family val="2"/>
    </font>
    <font>
      <b/>
      <sz val="10"/>
      <name val="B Zar"/>
      <charset val="178"/>
    </font>
    <font>
      <b/>
      <sz val="16"/>
      <color theme="1"/>
      <name val="B Nazanin"/>
      <charset val="178"/>
    </font>
    <font>
      <b/>
      <sz val="12"/>
      <color theme="1"/>
      <name val="B Jadid"/>
      <charset val="178"/>
    </font>
    <font>
      <sz val="13"/>
      <color theme="1"/>
      <name val="B Mehr"/>
      <charset val="178"/>
    </font>
    <font>
      <b/>
      <sz val="11"/>
      <color theme="1"/>
      <name val="B Titr"/>
      <charset val="178"/>
    </font>
    <font>
      <sz val="8"/>
      <color theme="1"/>
      <name val="B Nazanin"/>
      <charset val="178"/>
    </font>
    <font>
      <sz val="11"/>
      <color rgb="FF000099"/>
      <name val="B Nazanin"/>
      <charset val="178"/>
    </font>
    <font>
      <b/>
      <sz val="11"/>
      <color theme="1"/>
      <name val="Arial"/>
      <family val="2"/>
      <scheme val="minor"/>
    </font>
    <font>
      <b/>
      <sz val="10"/>
      <color rgb="FF000000"/>
      <name val="B Nazanin"/>
      <charset val="178"/>
    </font>
    <font>
      <b/>
      <sz val="14"/>
      <color theme="1"/>
      <name val="B Zar"/>
      <charset val="178"/>
    </font>
    <font>
      <b/>
      <sz val="9"/>
      <color rgb="FF000000"/>
      <name val="B Nazanin"/>
      <charset val="178"/>
    </font>
    <font>
      <b/>
      <sz val="9"/>
      <color rgb="FF000000"/>
      <name val="B Mitra"/>
      <charset val="178"/>
    </font>
    <font>
      <sz val="10"/>
      <name val="B Mitra"/>
      <charset val="178"/>
    </font>
    <font>
      <b/>
      <sz val="9"/>
      <name val="B Mitra"/>
      <charset val="178"/>
    </font>
    <font>
      <b/>
      <sz val="8"/>
      <color rgb="FF000000"/>
      <name val="Tahoma"/>
      <family val="2"/>
    </font>
    <font>
      <b/>
      <sz val="11"/>
      <name val="B Mitra"/>
      <charset val="178"/>
    </font>
    <font>
      <sz val="20"/>
      <name val="B Mitra"/>
      <charset val="178"/>
    </font>
    <font>
      <sz val="11"/>
      <name val="B Zar"/>
      <charset val="178"/>
    </font>
    <font>
      <sz val="10"/>
      <name val="Arial"/>
    </font>
    <font>
      <sz val="10"/>
      <color theme="1"/>
      <name val="Courier New (Arabic)"/>
    </font>
    <font>
      <sz val="8"/>
      <color indexed="19"/>
      <name val="B Nazanin"/>
      <charset val="178"/>
    </font>
    <font>
      <b/>
      <sz val="10.5"/>
      <name val="B Nazanin"/>
      <charset val="178"/>
    </font>
    <font>
      <b/>
      <sz val="7.5"/>
      <name val="B Nazanin"/>
      <charset val="17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6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b/>
      <sz val="14"/>
      <color theme="1"/>
      <name val="Arial"/>
      <family val="2"/>
      <scheme val="minor"/>
    </font>
    <font>
      <sz val="13"/>
      <color theme="9" tint="-0.249977111117893"/>
      <name val="B Nazanin"/>
      <charset val="178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FFF2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/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rgb="FF000000"/>
      </left>
      <right style="medium">
        <color rgb="FF666666"/>
      </right>
      <top style="mediumDashed">
        <color rgb="FF000000"/>
      </top>
      <bottom style="mediumDashed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80"/>
      </top>
      <bottom style="medium">
        <color rgb="FF000080"/>
      </bottom>
      <diagonal/>
    </border>
    <border>
      <left/>
      <right/>
      <top style="medium">
        <color rgb="FF00008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</borders>
  <cellStyleXfs count="349">
    <xf numFmtId="0" fontId="0" fillId="0" borderId="0"/>
    <xf numFmtId="0" fontId="6" fillId="0" borderId="0"/>
    <xf numFmtId="0" fontId="13" fillId="0" borderId="0"/>
    <xf numFmtId="165" fontId="6" fillId="0" borderId="0" applyFont="0" applyFill="0" applyBorder="0" applyAlignment="0" applyProtection="0"/>
    <xf numFmtId="0" fontId="13" fillId="0" borderId="0"/>
    <xf numFmtId="0" fontId="6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6" fillId="0" borderId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4" fillId="0" borderId="0"/>
    <xf numFmtId="177" fontId="4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3" fillId="0" borderId="0"/>
    <xf numFmtId="9" fontId="6" fillId="0" borderId="0" applyFont="0" applyFill="0" applyBorder="0" applyAlignment="0" applyProtection="0"/>
    <xf numFmtId="179" fontId="89" fillId="0" borderId="0"/>
    <xf numFmtId="172" fontId="8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6" fillId="0" borderId="0"/>
    <xf numFmtId="0" fontId="73" fillId="0" borderId="0"/>
    <xf numFmtId="0" fontId="13" fillId="0" borderId="0"/>
    <xf numFmtId="0" fontId="4" fillId="0" borderId="0"/>
    <xf numFmtId="0" fontId="4" fillId="0" borderId="0"/>
    <xf numFmtId="0" fontId="125" fillId="0" borderId="0"/>
    <xf numFmtId="0" fontId="13" fillId="0" borderId="0"/>
    <xf numFmtId="0" fontId="125" fillId="0" borderId="0"/>
    <xf numFmtId="0" fontId="4" fillId="0" borderId="0"/>
    <xf numFmtId="0" fontId="137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13" fillId="0" borderId="0"/>
    <xf numFmtId="0" fontId="137" fillId="0" borderId="0"/>
    <xf numFmtId="164" fontId="4" fillId="0" borderId="0" applyFont="0" applyFill="0" applyBorder="0" applyAlignment="0" applyProtection="0"/>
    <xf numFmtId="0" fontId="13" fillId="0" borderId="0"/>
    <xf numFmtId="0" fontId="13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1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6" fillId="27" borderId="0" applyNumberFormat="0" applyBorder="0" applyAlignment="0" applyProtection="0"/>
    <xf numFmtId="0" fontId="186" fillId="28" borderId="0" applyNumberFormat="0" applyBorder="0" applyAlignment="0" applyProtection="0"/>
    <xf numFmtId="0" fontId="186" fillId="29" borderId="0" applyNumberFormat="0" applyBorder="0" applyAlignment="0" applyProtection="0"/>
    <xf numFmtId="0" fontId="186" fillId="30" borderId="0" applyNumberFormat="0" applyBorder="0" applyAlignment="0" applyProtection="0"/>
    <xf numFmtId="0" fontId="186" fillId="31" borderId="0" applyNumberFormat="0" applyBorder="0" applyAlignment="0" applyProtection="0"/>
    <xf numFmtId="0" fontId="186" fillId="32" borderId="0" applyNumberFormat="0" applyBorder="0" applyAlignment="0" applyProtection="0"/>
    <xf numFmtId="0" fontId="186" fillId="33" borderId="0" applyNumberFormat="0" applyBorder="0" applyAlignment="0" applyProtection="0"/>
    <xf numFmtId="0" fontId="186" fillId="34" borderId="0" applyNumberFormat="0" applyBorder="0" applyAlignment="0" applyProtection="0"/>
    <xf numFmtId="0" fontId="186" fillId="35" borderId="0" applyNumberFormat="0" applyBorder="0" applyAlignment="0" applyProtection="0"/>
    <xf numFmtId="0" fontId="186" fillId="30" borderId="0" applyNumberFormat="0" applyBorder="0" applyAlignment="0" applyProtection="0"/>
    <xf numFmtId="0" fontId="186" fillId="33" borderId="0" applyNumberFormat="0" applyBorder="0" applyAlignment="0" applyProtection="0"/>
    <xf numFmtId="0" fontId="186" fillId="36" borderId="0" applyNumberFormat="0" applyBorder="0" applyAlignment="0" applyProtection="0"/>
    <xf numFmtId="0" fontId="187" fillId="37" borderId="0" applyNumberFormat="0" applyBorder="0" applyAlignment="0" applyProtection="0"/>
    <xf numFmtId="0" fontId="187" fillId="34" borderId="0" applyNumberFormat="0" applyBorder="0" applyAlignment="0" applyProtection="0"/>
    <xf numFmtId="0" fontId="187" fillId="35" borderId="0" applyNumberFormat="0" applyBorder="0" applyAlignment="0" applyProtection="0"/>
    <xf numFmtId="0" fontId="187" fillId="38" borderId="0" applyNumberFormat="0" applyBorder="0" applyAlignment="0" applyProtection="0"/>
    <xf numFmtId="0" fontId="187" fillId="39" borderId="0" applyNumberFormat="0" applyBorder="0" applyAlignment="0" applyProtection="0"/>
    <xf numFmtId="0" fontId="187" fillId="40" borderId="0" applyNumberFormat="0" applyBorder="0" applyAlignment="0" applyProtection="0"/>
    <xf numFmtId="0" fontId="187" fillId="41" borderId="0" applyNumberFormat="0" applyBorder="0" applyAlignment="0" applyProtection="0"/>
    <xf numFmtId="0" fontId="187" fillId="42" borderId="0" applyNumberFormat="0" applyBorder="0" applyAlignment="0" applyProtection="0"/>
    <xf numFmtId="0" fontId="187" fillId="43" borderId="0" applyNumberFormat="0" applyBorder="0" applyAlignment="0" applyProtection="0"/>
    <xf numFmtId="0" fontId="187" fillId="38" borderId="0" applyNumberFormat="0" applyBorder="0" applyAlignment="0" applyProtection="0"/>
    <xf numFmtId="0" fontId="187" fillId="39" borderId="0" applyNumberFormat="0" applyBorder="0" applyAlignment="0" applyProtection="0"/>
    <xf numFmtId="0" fontId="187" fillId="44" borderId="0" applyNumberFormat="0" applyBorder="0" applyAlignment="0" applyProtection="0"/>
    <xf numFmtId="0" fontId="188" fillId="28" borderId="0" applyNumberFormat="0" applyBorder="0" applyAlignment="0" applyProtection="0"/>
    <xf numFmtId="0" fontId="189" fillId="45" borderId="259" applyNumberFormat="0" applyAlignment="0" applyProtection="0"/>
    <xf numFmtId="0" fontId="190" fillId="46" borderId="260" applyNumberFormat="0" applyAlignment="0" applyProtection="0"/>
    <xf numFmtId="191" fontId="6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192" fillId="29" borderId="0" applyNumberFormat="0" applyBorder="0" applyAlignment="0" applyProtection="0"/>
    <xf numFmtId="0" fontId="193" fillId="0" borderId="261" applyNumberFormat="0" applyFill="0" applyAlignment="0" applyProtection="0"/>
    <xf numFmtId="0" fontId="194" fillId="0" borderId="262" applyNumberFormat="0" applyFill="0" applyAlignment="0" applyProtection="0"/>
    <xf numFmtId="0" fontId="195" fillId="0" borderId="263" applyNumberFormat="0" applyFill="0" applyAlignment="0" applyProtection="0"/>
    <xf numFmtId="0" fontId="195" fillId="0" borderId="0" applyNumberFormat="0" applyFill="0" applyBorder="0" applyAlignment="0" applyProtection="0"/>
    <xf numFmtId="0" fontId="196" fillId="32" borderId="259" applyNumberFormat="0" applyAlignment="0" applyProtection="0"/>
    <xf numFmtId="0" fontId="197" fillId="0" borderId="264" applyNumberFormat="0" applyFill="0" applyAlignment="0" applyProtection="0"/>
    <xf numFmtId="0" fontId="198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8" borderId="265" applyNumberFormat="0" applyFont="0" applyAlignment="0" applyProtection="0"/>
    <xf numFmtId="0" fontId="199" fillId="45" borderId="266" applyNumberFormat="0" applyAlignment="0" applyProtection="0"/>
    <xf numFmtId="0" fontId="200" fillId="0" borderId="0">
      <alignment horizontal="center" vertical="center"/>
    </xf>
    <xf numFmtId="0" fontId="201" fillId="0" borderId="0">
      <alignment horizontal="right" vertical="top"/>
    </xf>
    <xf numFmtId="0" fontId="202" fillId="0" borderId="0">
      <alignment horizontal="center" vertical="center"/>
    </xf>
    <xf numFmtId="0" fontId="203" fillId="0" borderId="0">
      <alignment horizontal="center" vertical="center"/>
    </xf>
    <xf numFmtId="0" fontId="204" fillId="0" borderId="0">
      <alignment horizontal="center" vertical="center"/>
    </xf>
    <xf numFmtId="0" fontId="205" fillId="0" borderId="0" applyNumberFormat="0" applyFill="0" applyBorder="0" applyAlignment="0" applyProtection="0"/>
    <xf numFmtId="0" fontId="206" fillId="0" borderId="267" applyNumberFormat="0" applyFill="0" applyAlignment="0" applyProtection="0"/>
    <xf numFmtId="0" fontId="207" fillId="0" borderId="0" applyNumberFormat="0" applyFill="0" applyBorder="0" applyAlignment="0" applyProtection="0"/>
    <xf numFmtId="0" fontId="189" fillId="45" borderId="259" applyNumberFormat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96" fillId="32" borderId="259" applyNumberFormat="0" applyAlignment="0" applyProtection="0"/>
    <xf numFmtId="0" fontId="2" fillId="0" borderId="0"/>
    <xf numFmtId="0" fontId="13" fillId="48" borderId="265" applyNumberFormat="0" applyFont="0" applyAlignment="0" applyProtection="0"/>
    <xf numFmtId="0" fontId="199" fillId="45" borderId="266" applyNumberFormat="0" applyAlignment="0" applyProtection="0"/>
    <xf numFmtId="0" fontId="206" fillId="0" borderId="267" applyNumberFormat="0" applyFill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8" fillId="0" borderId="0"/>
    <xf numFmtId="0" fontId="5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3821">
    <xf numFmtId="0" fontId="0" fillId="0" borderId="0" xfId="0"/>
    <xf numFmtId="0" fontId="7" fillId="0" borderId="0" xfId="1" applyFont="1" applyFill="1" applyAlignment="1">
      <alignment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3" fontId="12" fillId="0" borderId="16" xfId="1" applyNumberFormat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1" fontId="7" fillId="0" borderId="0" xfId="1" applyNumberFormat="1" applyFont="1" applyFill="1" applyAlignment="1">
      <alignment vertical="center"/>
    </xf>
    <xf numFmtId="165" fontId="7" fillId="0" borderId="0" xfId="3" applyFont="1" applyFill="1" applyAlignment="1">
      <alignment vertical="center"/>
    </xf>
    <xf numFmtId="166" fontId="7" fillId="0" borderId="0" xfId="3" applyNumberFormat="1" applyFont="1" applyFill="1" applyAlignment="1">
      <alignment vertical="center"/>
    </xf>
    <xf numFmtId="167" fontId="7" fillId="0" borderId="0" xfId="3" applyNumberFormat="1" applyFont="1" applyFill="1" applyAlignment="1">
      <alignment vertical="center"/>
    </xf>
    <xf numFmtId="165" fontId="14" fillId="0" borderId="42" xfId="3" applyFont="1" applyFill="1" applyBorder="1" applyAlignment="1">
      <alignment horizontal="right" vertical="center"/>
    </xf>
    <xf numFmtId="165" fontId="14" fillId="0" borderId="37" xfId="3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165" fontId="7" fillId="0" borderId="0" xfId="3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Alignment="1">
      <alignment vertical="center"/>
    </xf>
    <xf numFmtId="0" fontId="7" fillId="0" borderId="0" xfId="1" applyFont="1" applyFill="1"/>
    <xf numFmtId="0" fontId="7" fillId="0" borderId="0" xfId="4" applyFont="1" applyFill="1"/>
    <xf numFmtId="168" fontId="10" fillId="0" borderId="46" xfId="1" applyNumberFormat="1" applyFont="1" applyFill="1" applyBorder="1"/>
    <xf numFmtId="0" fontId="7" fillId="0" borderId="0" xfId="1" applyFont="1" applyFill="1" applyBorder="1"/>
    <xf numFmtId="1" fontId="10" fillId="0" borderId="46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right" vertical="center"/>
    </xf>
    <xf numFmtId="1" fontId="7" fillId="0" borderId="0" xfId="1" applyNumberFormat="1" applyFont="1" applyFill="1" applyBorder="1"/>
    <xf numFmtId="1" fontId="7" fillId="0" borderId="0" xfId="1" applyNumberFormat="1" applyFont="1" applyFill="1"/>
    <xf numFmtId="0" fontId="4" fillId="0" borderId="0" xfId="7" applyAlignment="1"/>
    <xf numFmtId="0" fontId="4" fillId="0" borderId="0" xfId="7"/>
    <xf numFmtId="3" fontId="4" fillId="0" borderId="0" xfId="7" applyNumberFormat="1"/>
    <xf numFmtId="3" fontId="19" fillId="3" borderId="52" xfId="8" applyNumberFormat="1" applyFont="1" applyFill="1" applyBorder="1" applyAlignment="1">
      <alignment horizontal="center" vertical="center" wrapText="1" readingOrder="2"/>
    </xf>
    <xf numFmtId="0" fontId="7" fillId="0" borderId="0" xfId="4" applyFont="1" applyFill="1" applyBorder="1"/>
    <xf numFmtId="0" fontId="10" fillId="0" borderId="0" xfId="1" applyFont="1" applyFill="1" applyBorder="1"/>
    <xf numFmtId="0" fontId="20" fillId="0" borderId="0" xfId="1" applyFont="1" applyFill="1" applyAlignment="1">
      <alignment horizontal="right" readingOrder="2"/>
    </xf>
    <xf numFmtId="0" fontId="21" fillId="0" borderId="0" xfId="1" applyFont="1" applyFill="1" applyAlignment="1">
      <alignment readingOrder="2"/>
    </xf>
    <xf numFmtId="0" fontId="10" fillId="0" borderId="7" xfId="1" applyFont="1" applyFill="1" applyBorder="1" applyAlignment="1">
      <alignment horizontal="center" vertical="center"/>
    </xf>
    <xf numFmtId="0" fontId="10" fillId="0" borderId="57" xfId="1" applyFont="1" applyFill="1" applyBorder="1" applyAlignment="1">
      <alignment horizontal="center" vertical="center" textRotation="90"/>
    </xf>
    <xf numFmtId="0" fontId="10" fillId="0" borderId="5" xfId="1" applyFont="1" applyFill="1" applyBorder="1" applyAlignment="1">
      <alignment horizontal="center" vertical="center" textRotation="90"/>
    </xf>
    <xf numFmtId="0" fontId="10" fillId="0" borderId="6" xfId="1" applyFont="1" applyFill="1" applyBorder="1" applyAlignment="1">
      <alignment horizontal="center" vertical="center" textRotation="90"/>
    </xf>
    <xf numFmtId="0" fontId="10" fillId="0" borderId="60" xfId="1" applyFont="1" applyFill="1" applyBorder="1" applyAlignment="1">
      <alignment horizontal="center" vertical="center" textRotation="90"/>
    </xf>
    <xf numFmtId="0" fontId="17" fillId="0" borderId="6" xfId="2" applyFont="1" applyFill="1" applyBorder="1" applyAlignment="1">
      <alignment horizontal="center" vertical="center" textRotation="90"/>
    </xf>
    <xf numFmtId="0" fontId="17" fillId="0" borderId="5" xfId="2" applyFont="1" applyFill="1" applyBorder="1" applyAlignment="1">
      <alignment horizontal="center" vertical="center" textRotation="90"/>
    </xf>
    <xf numFmtId="0" fontId="16" fillId="0" borderId="5" xfId="1" applyFont="1" applyFill="1" applyBorder="1" applyAlignment="1">
      <alignment horizontal="center" vertical="center" textRotation="90"/>
    </xf>
    <xf numFmtId="0" fontId="10" fillId="0" borderId="61" xfId="1" applyFont="1" applyFill="1" applyBorder="1" applyAlignment="1">
      <alignment vertical="center"/>
    </xf>
    <xf numFmtId="0" fontId="11" fillId="0" borderId="18" xfId="1" applyFont="1" applyFill="1" applyBorder="1" applyAlignment="1">
      <alignment horizontal="center" vertical="center" wrapText="1"/>
    </xf>
    <xf numFmtId="1" fontId="16" fillId="0" borderId="15" xfId="1" applyNumberFormat="1" applyFont="1" applyFill="1" applyBorder="1" applyAlignment="1">
      <alignment horizontal="right" vertical="center" readingOrder="2"/>
    </xf>
    <xf numFmtId="1" fontId="16" fillId="0" borderId="16" xfId="1" applyNumberFormat="1" applyFont="1" applyFill="1" applyBorder="1" applyAlignment="1">
      <alignment horizontal="right" vertical="center" readingOrder="2"/>
    </xf>
    <xf numFmtId="1" fontId="16" fillId="0" borderId="16" xfId="1" applyNumberFormat="1" applyFont="1" applyFill="1" applyBorder="1" applyAlignment="1">
      <alignment horizontal="center" vertical="center"/>
    </xf>
    <xf numFmtId="0" fontId="11" fillId="0" borderId="50" xfId="1" applyFont="1" applyFill="1" applyBorder="1" applyAlignment="1">
      <alignment horizontal="center" vertical="center"/>
    </xf>
    <xf numFmtId="168" fontId="7" fillId="0" borderId="0" xfId="1" applyNumberFormat="1" applyFont="1" applyFill="1" applyAlignment="1">
      <alignment vertical="center"/>
    </xf>
    <xf numFmtId="3" fontId="18" fillId="0" borderId="7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6" fillId="0" borderId="0" xfId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9" fillId="0" borderId="0" xfId="1" applyFont="1"/>
    <xf numFmtId="0" fontId="9" fillId="0" borderId="0" xfId="1" applyFont="1" applyFill="1"/>
    <xf numFmtId="3" fontId="7" fillId="0" borderId="0" xfId="5" applyNumberFormat="1" applyFont="1" applyFill="1" applyBorder="1" applyAlignment="1">
      <alignment horizontal="center" vertical="center"/>
    </xf>
    <xf numFmtId="3" fontId="7" fillId="0" borderId="0" xfId="5" applyNumberFormat="1" applyFont="1" applyFill="1" applyAlignment="1">
      <alignment horizontal="center" vertical="center"/>
    </xf>
    <xf numFmtId="3" fontId="16" fillId="0" borderId="41" xfId="5" applyNumberFormat="1" applyFont="1" applyFill="1" applyBorder="1" applyAlignment="1">
      <alignment horizontal="center" vertical="center"/>
    </xf>
    <xf numFmtId="3" fontId="16" fillId="0" borderId="5" xfId="5" applyNumberFormat="1" applyFont="1" applyFill="1" applyBorder="1" applyAlignment="1">
      <alignment horizontal="center" vertical="center"/>
    </xf>
    <xf numFmtId="3" fontId="16" fillId="0" borderId="7" xfId="5" applyNumberFormat="1" applyFont="1" applyFill="1" applyBorder="1" applyAlignment="1">
      <alignment horizontal="center" vertical="center"/>
    </xf>
    <xf numFmtId="3" fontId="23" fillId="0" borderId="57" xfId="5" applyNumberFormat="1" applyFont="1" applyFill="1" applyBorder="1" applyAlignment="1">
      <alignment horizontal="center" vertical="center"/>
    </xf>
    <xf numFmtId="3" fontId="23" fillId="0" borderId="5" xfId="5" applyNumberFormat="1" applyFont="1" applyFill="1" applyBorder="1" applyAlignment="1">
      <alignment horizontal="center" vertical="center"/>
    </xf>
    <xf numFmtId="3" fontId="23" fillId="0" borderId="7" xfId="5" applyNumberFormat="1" applyFont="1" applyFill="1" applyBorder="1" applyAlignment="1">
      <alignment horizontal="center" vertical="center"/>
    </xf>
    <xf numFmtId="3" fontId="24" fillId="0" borderId="3" xfId="5" applyNumberFormat="1" applyFont="1" applyFill="1" applyBorder="1" applyAlignment="1">
      <alignment horizontal="center" vertical="center"/>
    </xf>
    <xf numFmtId="3" fontId="10" fillId="0" borderId="0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12" fillId="0" borderId="0" xfId="5" applyNumberFormat="1" applyFont="1" applyFill="1" applyAlignment="1">
      <alignment horizontal="center" vertical="center"/>
    </xf>
    <xf numFmtId="3" fontId="10" fillId="0" borderId="0" xfId="5" applyNumberFormat="1" applyFont="1" applyFill="1" applyAlignment="1">
      <alignment horizontal="center" vertical="center"/>
    </xf>
    <xf numFmtId="3" fontId="23" fillId="0" borderId="0" xfId="5" applyNumberFormat="1" applyFont="1" applyFill="1" applyAlignment="1">
      <alignment horizontal="center" vertical="center"/>
    </xf>
    <xf numFmtId="3" fontId="18" fillId="0" borderId="0" xfId="5" applyNumberFormat="1" applyFont="1" applyFill="1" applyAlignment="1">
      <alignment horizontal="center" vertical="center"/>
    </xf>
    <xf numFmtId="3" fontId="17" fillId="0" borderId="0" xfId="10" applyNumberFormat="1" applyFont="1" applyFill="1" applyBorder="1" applyAlignment="1">
      <alignment horizontal="right" vertical="center"/>
    </xf>
    <xf numFmtId="3" fontId="7" fillId="0" borderId="0" xfId="1" applyNumberFormat="1" applyFont="1" applyFill="1"/>
    <xf numFmtId="0" fontId="7" fillId="0" borderId="0" xfId="5" applyFont="1" applyFill="1" applyAlignment="1">
      <alignment vertical="center"/>
    </xf>
    <xf numFmtId="0" fontId="7" fillId="0" borderId="0" xfId="5" applyFont="1" applyFill="1"/>
    <xf numFmtId="0" fontId="10" fillId="0" borderId="28" xfId="5" applyFont="1" applyFill="1" applyBorder="1" applyAlignment="1">
      <alignment horizontal="center" vertical="center"/>
    </xf>
    <xf numFmtId="3" fontId="7" fillId="0" borderId="0" xfId="5" applyNumberFormat="1" applyFont="1" applyFill="1"/>
    <xf numFmtId="0" fontId="7" fillId="0" borderId="0" xfId="5" applyFont="1" applyFill="1" applyBorder="1"/>
    <xf numFmtId="1" fontId="7" fillId="0" borderId="0" xfId="5" applyNumberFormat="1" applyFont="1" applyFill="1"/>
    <xf numFmtId="166" fontId="7" fillId="0" borderId="0" xfId="3" applyNumberFormat="1" applyFont="1" applyFill="1"/>
    <xf numFmtId="3" fontId="28" fillId="0" borderId="0" xfId="5" applyNumberFormat="1" applyFont="1" applyFill="1"/>
    <xf numFmtId="169" fontId="7" fillId="0" borderId="0" xfId="5" applyNumberFormat="1" applyFont="1" applyFill="1"/>
    <xf numFmtId="0" fontId="10" fillId="0" borderId="44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1" fontId="12" fillId="0" borderId="22" xfId="1" applyNumberFormat="1" applyFont="1" applyFill="1" applyBorder="1" applyAlignment="1">
      <alignment horizontal="center" vertical="center"/>
    </xf>
    <xf numFmtId="1" fontId="12" fillId="0" borderId="16" xfId="1" applyNumberFormat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1" fontId="12" fillId="0" borderId="56" xfId="1" applyNumberFormat="1" applyFont="1" applyFill="1" applyBorder="1" applyAlignment="1">
      <alignment horizontal="center" vertical="center"/>
    </xf>
    <xf numFmtId="1" fontId="12" fillId="0" borderId="17" xfId="1" applyNumberFormat="1" applyFont="1" applyFill="1" applyBorder="1" applyAlignment="1">
      <alignment horizontal="center" vertical="center"/>
    </xf>
    <xf numFmtId="0" fontId="10" fillId="0" borderId="75" xfId="1" applyFont="1" applyFill="1" applyBorder="1" applyAlignment="1">
      <alignment horizontal="center" vertical="center"/>
    </xf>
    <xf numFmtId="1" fontId="12" fillId="0" borderId="65" xfId="1" applyNumberFormat="1" applyFont="1" applyFill="1" applyBorder="1" applyAlignment="1">
      <alignment horizontal="center" vertical="center"/>
    </xf>
    <xf numFmtId="1" fontId="12" fillId="0" borderId="73" xfId="1" applyNumberFormat="1" applyFont="1" applyFill="1" applyBorder="1" applyAlignment="1">
      <alignment horizontal="center" vertical="center"/>
    </xf>
    <xf numFmtId="1" fontId="12" fillId="0" borderId="42" xfId="1" applyNumberFormat="1" applyFont="1" applyFill="1" applyBorder="1" applyAlignment="1">
      <alignment horizontal="center" vertical="center"/>
    </xf>
    <xf numFmtId="0" fontId="10" fillId="0" borderId="70" xfId="1" applyFont="1" applyFill="1" applyBorder="1" applyAlignment="1">
      <alignment horizontal="center" vertical="center"/>
    </xf>
    <xf numFmtId="1" fontId="12" fillId="0" borderId="24" xfId="1" applyNumberFormat="1" applyFont="1" applyFill="1" applyBorder="1" applyAlignment="1">
      <alignment horizontal="center" vertical="center"/>
    </xf>
    <xf numFmtId="1" fontId="12" fillId="0" borderId="33" xfId="1" applyNumberFormat="1" applyFont="1" applyFill="1" applyBorder="1" applyAlignment="1">
      <alignment horizontal="center" vertical="center"/>
    </xf>
    <xf numFmtId="1" fontId="12" fillId="0" borderId="34" xfId="1" applyNumberFormat="1" applyFont="1" applyFill="1" applyBorder="1" applyAlignment="1">
      <alignment horizontal="center" vertical="center"/>
    </xf>
    <xf numFmtId="1" fontId="10" fillId="0" borderId="19" xfId="1" applyNumberFormat="1" applyFont="1" applyFill="1" applyBorder="1" applyAlignment="1">
      <alignment horizontal="center" vertical="center"/>
    </xf>
    <xf numFmtId="1" fontId="12" fillId="0" borderId="18" xfId="1" applyNumberFormat="1" applyFont="1" applyFill="1" applyBorder="1" applyAlignment="1">
      <alignment horizontal="center" vertical="center"/>
    </xf>
    <xf numFmtId="1" fontId="12" fillId="0" borderId="75" xfId="1" applyNumberFormat="1" applyFont="1" applyFill="1" applyBorder="1" applyAlignment="1">
      <alignment horizontal="center" vertical="center"/>
    </xf>
    <xf numFmtId="1" fontId="12" fillId="0" borderId="70" xfId="1" applyNumberFormat="1" applyFont="1" applyFill="1" applyBorder="1" applyAlignment="1">
      <alignment horizontal="center" vertical="center"/>
    </xf>
    <xf numFmtId="1" fontId="12" fillId="0" borderId="19" xfId="1" applyNumberFormat="1" applyFont="1" applyFill="1" applyBorder="1" applyAlignment="1">
      <alignment horizontal="center" vertical="center"/>
    </xf>
    <xf numFmtId="171" fontId="7" fillId="0" borderId="0" xfId="1" applyNumberFormat="1" applyFont="1" applyFill="1"/>
    <xf numFmtId="1" fontId="10" fillId="0" borderId="59" xfId="1" applyNumberFormat="1" applyFont="1" applyFill="1" applyBorder="1" applyAlignment="1">
      <alignment horizontal="center" vertical="center"/>
    </xf>
    <xf numFmtId="1" fontId="12" fillId="0" borderId="26" xfId="1" applyNumberFormat="1" applyFont="1" applyFill="1" applyBorder="1" applyAlignment="1">
      <alignment horizontal="center" vertical="center"/>
    </xf>
    <xf numFmtId="1" fontId="12" fillId="0" borderId="36" xfId="1" applyNumberFormat="1" applyFont="1" applyFill="1" applyBorder="1" applyAlignment="1">
      <alignment horizontal="center" vertical="center"/>
    </xf>
    <xf numFmtId="1" fontId="12" fillId="0" borderId="37" xfId="1" applyNumberFormat="1" applyFont="1" applyFill="1" applyBorder="1" applyAlignment="1">
      <alignment horizontal="center" vertical="center"/>
    </xf>
    <xf numFmtId="1" fontId="12" fillId="0" borderId="59" xfId="1" applyNumberFormat="1" applyFont="1" applyFill="1" applyBorder="1" applyAlignment="1">
      <alignment horizontal="center" vertical="center"/>
    </xf>
    <xf numFmtId="1" fontId="12" fillId="0" borderId="22" xfId="12" applyNumberFormat="1" applyFont="1" applyFill="1" applyBorder="1" applyAlignment="1">
      <alignment horizontal="center" vertical="center"/>
    </xf>
    <xf numFmtId="1" fontId="12" fillId="0" borderId="16" xfId="12" applyNumberFormat="1" applyFont="1" applyFill="1" applyBorder="1" applyAlignment="1">
      <alignment horizontal="center" vertical="center"/>
    </xf>
    <xf numFmtId="1" fontId="12" fillId="0" borderId="17" xfId="12" applyNumberFormat="1" applyFont="1" applyFill="1" applyBorder="1" applyAlignment="1">
      <alignment horizontal="center" vertical="center"/>
    </xf>
    <xf numFmtId="1" fontId="12" fillId="0" borderId="18" xfId="12" applyNumberFormat="1" applyFont="1" applyFill="1" applyBorder="1" applyAlignment="1">
      <alignment horizontal="center" vertical="center"/>
    </xf>
    <xf numFmtId="0" fontId="10" fillId="0" borderId="56" xfId="1" applyFont="1" applyFill="1" applyBorder="1" applyAlignment="1">
      <alignment horizontal="center" vertical="center"/>
    </xf>
    <xf numFmtId="1" fontId="12" fillId="0" borderId="55" xfId="12" applyNumberFormat="1" applyFont="1" applyFill="1" applyBorder="1" applyAlignment="1">
      <alignment horizontal="center" vertical="center"/>
    </xf>
    <xf numFmtId="1" fontId="12" fillId="0" borderId="12" xfId="12" applyNumberFormat="1" applyFont="1" applyFill="1" applyBorder="1" applyAlignment="1">
      <alignment horizontal="center" vertical="center"/>
    </xf>
    <xf numFmtId="1" fontId="12" fillId="0" borderId="13" xfId="12" applyNumberFormat="1" applyFont="1" applyFill="1" applyBorder="1" applyAlignment="1">
      <alignment horizontal="center" vertical="center"/>
    </xf>
    <xf numFmtId="1" fontId="12" fillId="0" borderId="50" xfId="12" applyNumberFormat="1" applyFont="1" applyFill="1" applyBorder="1" applyAlignment="1">
      <alignment horizontal="center" vertical="center"/>
    </xf>
    <xf numFmtId="0" fontId="10" fillId="0" borderId="59" xfId="1" applyFont="1" applyFill="1" applyBorder="1" applyAlignment="1">
      <alignment horizontal="center" vertical="center"/>
    </xf>
    <xf numFmtId="1" fontId="12" fillId="0" borderId="26" xfId="12" applyNumberFormat="1" applyFont="1" applyFill="1" applyBorder="1" applyAlignment="1">
      <alignment horizontal="center" vertical="center"/>
    </xf>
    <xf numFmtId="1" fontId="12" fillId="0" borderId="36" xfId="12" applyNumberFormat="1" applyFont="1" applyFill="1" applyBorder="1" applyAlignment="1">
      <alignment horizontal="center" vertical="center"/>
    </xf>
    <xf numFmtId="1" fontId="12" fillId="0" borderId="37" xfId="12" applyNumberFormat="1" applyFont="1" applyFill="1" applyBorder="1" applyAlignment="1">
      <alignment horizontal="center" vertical="center"/>
    </xf>
    <xf numFmtId="1" fontId="12" fillId="0" borderId="30" xfId="1" applyNumberFormat="1" applyFont="1" applyFill="1" applyBorder="1" applyAlignment="1">
      <alignment horizontal="center" vertical="center"/>
    </xf>
    <xf numFmtId="0" fontId="32" fillId="0" borderId="0" xfId="5" applyFont="1" applyFill="1"/>
    <xf numFmtId="0" fontId="10" fillId="0" borderId="27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1" fontId="18" fillId="0" borderId="10" xfId="5" applyNumberFormat="1" applyFont="1" applyFill="1" applyBorder="1" applyAlignment="1">
      <alignment horizontal="right" vertical="center" indent="3"/>
    </xf>
    <xf numFmtId="1" fontId="18" fillId="0" borderId="8" xfId="5" applyNumberFormat="1" applyFont="1" applyFill="1" applyBorder="1" applyAlignment="1">
      <alignment horizontal="right" vertical="center" indent="3"/>
    </xf>
    <xf numFmtId="9" fontId="18" fillId="0" borderId="11" xfId="5" applyNumberFormat="1" applyFont="1" applyFill="1" applyBorder="1" applyAlignment="1">
      <alignment horizontal="right" vertical="center" indent="2"/>
    </xf>
    <xf numFmtId="0" fontId="18" fillId="0" borderId="10" xfId="5" applyFont="1" applyFill="1" applyBorder="1" applyAlignment="1">
      <alignment horizontal="right" vertical="center" indent="3"/>
    </xf>
    <xf numFmtId="3" fontId="18" fillId="0" borderId="10" xfId="5" applyNumberFormat="1" applyFont="1" applyFill="1" applyBorder="1" applyAlignment="1">
      <alignment horizontal="right" vertical="center" indent="2"/>
    </xf>
    <xf numFmtId="3" fontId="18" fillId="0" borderId="11" xfId="5" applyNumberFormat="1" applyFont="1" applyFill="1" applyBorder="1" applyAlignment="1">
      <alignment horizontal="right" vertical="center" indent="2"/>
    </xf>
    <xf numFmtId="1" fontId="18" fillId="0" borderId="8" xfId="5" applyNumberFormat="1" applyFont="1" applyFill="1" applyBorder="1" applyAlignment="1">
      <alignment horizontal="right" vertical="center" indent="2"/>
    </xf>
    <xf numFmtId="3" fontId="18" fillId="0" borderId="10" xfId="5" applyNumberFormat="1" applyFont="1" applyFill="1" applyBorder="1" applyAlignment="1">
      <alignment horizontal="right" vertical="center" indent="3"/>
    </xf>
    <xf numFmtId="3" fontId="18" fillId="0" borderId="48" xfId="5" applyNumberFormat="1" applyFont="1" applyFill="1" applyBorder="1" applyAlignment="1">
      <alignment horizontal="right" vertical="center" indent="3"/>
    </xf>
    <xf numFmtId="9" fontId="18" fillId="0" borderId="50" xfId="5" applyNumberFormat="1" applyFont="1" applyFill="1" applyBorder="1" applyAlignment="1">
      <alignment horizontal="right" vertical="center" indent="2"/>
    </xf>
    <xf numFmtId="1" fontId="18" fillId="0" borderId="38" xfId="5" applyNumberFormat="1" applyFont="1" applyFill="1" applyBorder="1" applyAlignment="1">
      <alignment horizontal="right" vertical="center" indent="2"/>
    </xf>
    <xf numFmtId="3" fontId="18" fillId="0" borderId="76" xfId="13" applyNumberFormat="1" applyFont="1" applyFill="1" applyBorder="1" applyAlignment="1">
      <alignment horizontal="right" vertical="center" indent="1"/>
    </xf>
    <xf numFmtId="3" fontId="18" fillId="0" borderId="10" xfId="13" applyNumberFormat="1" applyFont="1" applyFill="1" applyBorder="1" applyAlignment="1">
      <alignment horizontal="right" vertical="center" indent="1"/>
    </xf>
    <xf numFmtId="1" fontId="18" fillId="0" borderId="72" xfId="5" applyNumberFormat="1" applyFont="1" applyFill="1" applyBorder="1" applyAlignment="1">
      <alignment horizontal="right" vertical="center" indent="1"/>
    </xf>
    <xf numFmtId="0" fontId="10" fillId="0" borderId="56" xfId="5" applyFont="1" applyFill="1" applyBorder="1" applyAlignment="1">
      <alignment horizontal="center" vertical="center"/>
    </xf>
    <xf numFmtId="1" fontId="18" fillId="0" borderId="13" xfId="5" applyNumberFormat="1" applyFont="1" applyFill="1" applyBorder="1" applyAlignment="1">
      <alignment horizontal="right" vertical="center" indent="3"/>
    </xf>
    <xf numFmtId="1" fontId="18" fillId="0" borderId="15" xfId="5" applyNumberFormat="1" applyFont="1" applyFill="1" applyBorder="1" applyAlignment="1">
      <alignment horizontal="right" vertical="center" indent="3"/>
    </xf>
    <xf numFmtId="9" fontId="18" fillId="0" borderId="18" xfId="5" applyNumberFormat="1" applyFont="1" applyFill="1" applyBorder="1" applyAlignment="1">
      <alignment horizontal="right" vertical="center" indent="2"/>
    </xf>
    <xf numFmtId="0" fontId="18" fillId="0" borderId="13" xfId="5" applyFont="1" applyFill="1" applyBorder="1" applyAlignment="1">
      <alignment horizontal="right" vertical="center" indent="3"/>
    </xf>
    <xf numFmtId="3" fontId="18" fillId="0" borderId="13" xfId="5" applyNumberFormat="1" applyFont="1" applyFill="1" applyBorder="1" applyAlignment="1">
      <alignment horizontal="right" vertical="center" indent="2"/>
    </xf>
    <xf numFmtId="3" fontId="18" fillId="0" borderId="50" xfId="5" applyNumberFormat="1" applyFont="1" applyFill="1" applyBorder="1" applyAlignment="1">
      <alignment horizontal="right" vertical="center" indent="2"/>
    </xf>
    <xf numFmtId="1" fontId="18" fillId="0" borderId="15" xfId="5" applyNumberFormat="1" applyFont="1" applyFill="1" applyBorder="1" applyAlignment="1">
      <alignment horizontal="right" vertical="center" indent="2"/>
    </xf>
    <xf numFmtId="3" fontId="18" fillId="0" borderId="13" xfId="5" applyNumberFormat="1" applyFont="1" applyFill="1" applyBorder="1" applyAlignment="1">
      <alignment horizontal="right" vertical="center" indent="3"/>
    </xf>
    <xf numFmtId="3" fontId="18" fillId="0" borderId="15" xfId="5" applyNumberFormat="1" applyFont="1" applyFill="1" applyBorder="1" applyAlignment="1">
      <alignment horizontal="right" vertical="center" indent="3"/>
    </xf>
    <xf numFmtId="3" fontId="18" fillId="0" borderId="77" xfId="13" applyNumberFormat="1" applyFont="1" applyFill="1" applyBorder="1" applyAlignment="1">
      <alignment horizontal="right" vertical="center" indent="1"/>
    </xf>
    <xf numFmtId="3" fontId="18" fillId="0" borderId="13" xfId="13" applyNumberFormat="1" applyFont="1" applyFill="1" applyBorder="1" applyAlignment="1">
      <alignment horizontal="right" vertical="center" indent="1"/>
    </xf>
    <xf numFmtId="1" fontId="18" fillId="0" borderId="15" xfId="5" applyNumberFormat="1" applyFont="1" applyFill="1" applyBorder="1" applyAlignment="1">
      <alignment horizontal="right" vertical="center" indent="1"/>
    </xf>
    <xf numFmtId="0" fontId="10" fillId="0" borderId="19" xfId="5" applyFont="1" applyFill="1" applyBorder="1" applyAlignment="1">
      <alignment horizontal="center" vertical="center"/>
    </xf>
    <xf numFmtId="1" fontId="18" fillId="0" borderId="17" xfId="5" applyNumberFormat="1" applyFont="1" applyFill="1" applyBorder="1" applyAlignment="1">
      <alignment horizontal="right" vertical="center" indent="3"/>
    </xf>
    <xf numFmtId="3" fontId="18" fillId="0" borderId="17" xfId="5" applyNumberFormat="1" applyFont="1" applyFill="1" applyBorder="1" applyAlignment="1">
      <alignment horizontal="right" vertical="center" indent="2"/>
    </xf>
    <xf numFmtId="3" fontId="18" fillId="0" borderId="18" xfId="5" applyNumberFormat="1" applyFont="1" applyFill="1" applyBorder="1" applyAlignment="1">
      <alignment horizontal="right" vertical="center" indent="2"/>
    </xf>
    <xf numFmtId="0" fontId="18" fillId="0" borderId="17" xfId="5" applyFont="1" applyFill="1" applyBorder="1" applyAlignment="1">
      <alignment horizontal="right" vertical="center" indent="3"/>
    </xf>
    <xf numFmtId="3" fontId="18" fillId="2" borderId="17" xfId="5" applyNumberFormat="1" applyFont="1" applyFill="1" applyBorder="1" applyAlignment="1">
      <alignment horizontal="right" vertical="center" indent="3"/>
    </xf>
    <xf numFmtId="3" fontId="18" fillId="0" borderId="21" xfId="13" applyNumberFormat="1" applyFont="1" applyFill="1" applyBorder="1" applyAlignment="1">
      <alignment horizontal="right" vertical="center" indent="1"/>
    </xf>
    <xf numFmtId="3" fontId="18" fillId="0" borderId="17" xfId="13" applyNumberFormat="1" applyFont="1" applyFill="1" applyBorder="1" applyAlignment="1">
      <alignment horizontal="right" vertical="center" indent="1"/>
    </xf>
    <xf numFmtId="3" fontId="18" fillId="0" borderId="17" xfId="5" applyNumberFormat="1" applyFont="1" applyFill="1" applyBorder="1" applyAlignment="1">
      <alignment horizontal="right" vertical="center" indent="3"/>
    </xf>
    <xf numFmtId="3" fontId="18" fillId="2" borderId="18" xfId="5" applyNumberFormat="1" applyFont="1" applyFill="1" applyBorder="1" applyAlignment="1">
      <alignment horizontal="right" vertical="center" indent="2"/>
    </xf>
    <xf numFmtId="3" fontId="33" fillId="4" borderId="17" xfId="13" applyNumberFormat="1" applyFont="1" applyFill="1" applyBorder="1" applyAlignment="1">
      <alignment horizontal="right" vertical="center" indent="1"/>
    </xf>
    <xf numFmtId="0" fontId="10" fillId="0" borderId="70" xfId="5" applyFont="1" applyFill="1" applyBorder="1" applyAlignment="1">
      <alignment horizontal="center" vertical="center"/>
    </xf>
    <xf numFmtId="3" fontId="18" fillId="0" borderId="34" xfId="5" applyNumberFormat="1" applyFont="1" applyFill="1" applyBorder="1" applyAlignment="1">
      <alignment horizontal="right" vertical="center" indent="2"/>
    </xf>
    <xf numFmtId="3" fontId="18" fillId="0" borderId="31" xfId="5" applyNumberFormat="1" applyFont="1" applyFill="1" applyBorder="1" applyAlignment="1">
      <alignment horizontal="right" vertical="center" indent="2"/>
    </xf>
    <xf numFmtId="1" fontId="18" fillId="0" borderId="32" xfId="5" applyNumberFormat="1" applyFont="1" applyFill="1" applyBorder="1" applyAlignment="1">
      <alignment horizontal="right" vertical="center" indent="2"/>
    </xf>
    <xf numFmtId="1" fontId="18" fillId="0" borderId="18" xfId="5" applyNumberFormat="1" applyFont="1" applyFill="1" applyBorder="1" applyAlignment="1">
      <alignment horizontal="right" vertical="center" indent="3"/>
    </xf>
    <xf numFmtId="9" fontId="7" fillId="0" borderId="18" xfId="5" applyNumberFormat="1" applyFont="1" applyFill="1" applyBorder="1" applyAlignment="1">
      <alignment horizontal="right" vertical="center" indent="2"/>
    </xf>
    <xf numFmtId="3" fontId="18" fillId="0" borderId="16" xfId="5" applyNumberFormat="1" applyFont="1" applyFill="1" applyBorder="1" applyAlignment="1">
      <alignment horizontal="right" vertical="center" indent="2"/>
    </xf>
    <xf numFmtId="0" fontId="10" fillId="0" borderId="75" xfId="5" applyFont="1" applyFill="1" applyBorder="1" applyAlignment="1">
      <alignment horizontal="center" vertical="center"/>
    </xf>
    <xf numFmtId="1" fontId="18" fillId="0" borderId="31" xfId="5" applyNumberFormat="1" applyFont="1" applyFill="1" applyBorder="1" applyAlignment="1">
      <alignment horizontal="right" vertical="center" indent="3"/>
    </xf>
    <xf numFmtId="1" fontId="18" fillId="0" borderId="32" xfId="5" applyNumberFormat="1" applyFont="1" applyFill="1" applyBorder="1" applyAlignment="1">
      <alignment horizontal="right" vertical="center" indent="3"/>
    </xf>
    <xf numFmtId="9" fontId="18" fillId="0" borderId="31" xfId="5" applyNumberFormat="1" applyFont="1" applyFill="1" applyBorder="1" applyAlignment="1">
      <alignment horizontal="right" vertical="center" indent="2"/>
    </xf>
    <xf numFmtId="0" fontId="10" fillId="0" borderId="59" xfId="5" applyFont="1" applyFill="1" applyBorder="1" applyAlignment="1">
      <alignment horizontal="center" vertical="center"/>
    </xf>
    <xf numFmtId="3" fontId="18" fillId="0" borderId="37" xfId="5" applyNumberFormat="1" applyFont="1" applyFill="1" applyBorder="1" applyAlignment="1">
      <alignment horizontal="right" vertical="center" indent="2"/>
    </xf>
    <xf numFmtId="3" fontId="18" fillId="0" borderId="35" xfId="5" applyNumberFormat="1" applyFont="1" applyFill="1" applyBorder="1" applyAlignment="1">
      <alignment horizontal="right" vertical="center" indent="2"/>
    </xf>
    <xf numFmtId="9" fontId="18" fillId="0" borderId="61" xfId="5" applyNumberFormat="1" applyFont="1" applyFill="1" applyBorder="1" applyAlignment="1">
      <alignment horizontal="right" vertical="center" indent="2"/>
    </xf>
    <xf numFmtId="3" fontId="18" fillId="0" borderId="18" xfId="5" applyNumberFormat="1" applyFont="1" applyFill="1" applyBorder="1" applyAlignment="1">
      <alignment horizontal="right" vertical="center" indent="3"/>
    </xf>
    <xf numFmtId="3" fontId="18" fillId="0" borderId="42" xfId="5" applyNumberFormat="1" applyFont="1" applyFill="1" applyBorder="1" applyAlignment="1">
      <alignment horizontal="right" vertical="center" indent="2"/>
    </xf>
    <xf numFmtId="3" fontId="18" fillId="2" borderId="18" xfId="13" applyNumberFormat="1" applyFont="1" applyFill="1" applyBorder="1" applyAlignment="1">
      <alignment horizontal="right" vertical="center" indent="1"/>
    </xf>
    <xf numFmtId="0" fontId="10" fillId="0" borderId="68" xfId="5" applyFont="1" applyFill="1" applyBorder="1" applyAlignment="1">
      <alignment horizontal="center" vertical="center"/>
    </xf>
    <xf numFmtId="1" fontId="18" fillId="0" borderId="41" xfId="5" applyNumberFormat="1" applyFont="1" applyFill="1" applyBorder="1" applyAlignment="1">
      <alignment horizontal="right" vertical="center" indent="3"/>
    </xf>
    <xf numFmtId="1" fontId="18" fillId="0" borderId="60" xfId="5" applyNumberFormat="1" applyFont="1" applyFill="1" applyBorder="1" applyAlignment="1">
      <alignment horizontal="right" vertical="center" indent="3"/>
    </xf>
    <xf numFmtId="0" fontId="18" fillId="0" borderId="68" xfId="5" applyFont="1" applyFill="1" applyBorder="1" applyAlignment="1">
      <alignment horizontal="right" vertical="center" indent="3"/>
    </xf>
    <xf numFmtId="9" fontId="18" fillId="0" borderId="7" xfId="5" applyNumberFormat="1" applyFont="1" applyFill="1" applyBorder="1" applyAlignment="1">
      <alignment horizontal="right" vertical="center" indent="2"/>
    </xf>
    <xf numFmtId="0" fontId="18" fillId="0" borderId="20" xfId="5" applyFont="1" applyFill="1" applyBorder="1" applyAlignment="1">
      <alignment horizontal="right" vertical="center" indent="3"/>
    </xf>
    <xf numFmtId="0" fontId="10" fillId="0" borderId="44" xfId="5" applyFont="1" applyFill="1" applyBorder="1" applyAlignment="1">
      <alignment horizontal="center" vertical="center"/>
    </xf>
    <xf numFmtId="3" fontId="18" fillId="0" borderId="68" xfId="5" applyNumberFormat="1" applyFont="1" applyFill="1" applyBorder="1" applyAlignment="1">
      <alignment horizontal="right" vertical="center" indent="2"/>
    </xf>
    <xf numFmtId="3" fontId="18" fillId="0" borderId="7" xfId="5" applyNumberFormat="1" applyFont="1" applyFill="1" applyBorder="1" applyAlignment="1">
      <alignment horizontal="right" vertical="center" indent="2"/>
    </xf>
    <xf numFmtId="1" fontId="18" fillId="0" borderId="57" xfId="5" applyNumberFormat="1" applyFont="1" applyFill="1" applyBorder="1" applyAlignment="1">
      <alignment horizontal="right" vertical="center" indent="2"/>
    </xf>
    <xf numFmtId="3" fontId="18" fillId="0" borderId="6" xfId="5" applyNumberFormat="1" applyFont="1" applyFill="1" applyBorder="1" applyAlignment="1">
      <alignment horizontal="right" vertical="center" indent="2"/>
    </xf>
    <xf numFmtId="3" fontId="18" fillId="0" borderId="41" xfId="5" applyNumberFormat="1" applyFont="1" applyFill="1" applyBorder="1" applyAlignment="1">
      <alignment horizontal="right" vertical="center" indent="2"/>
    </xf>
    <xf numFmtId="3" fontId="18" fillId="2" borderId="17" xfId="13" applyNumberFormat="1" applyFont="1" applyFill="1" applyBorder="1" applyAlignment="1">
      <alignment horizontal="right" vertical="center" indent="1"/>
    </xf>
    <xf numFmtId="0" fontId="18" fillId="0" borderId="0" xfId="5" applyFont="1" applyFill="1" applyBorder="1" applyAlignment="1">
      <alignment horizontal="right" vertical="center" indent="3"/>
    </xf>
    <xf numFmtId="1" fontId="18" fillId="0" borderId="72" xfId="5" applyNumberFormat="1" applyFont="1" applyFill="1" applyBorder="1" applyAlignment="1">
      <alignment horizontal="right" vertical="center" indent="3"/>
    </xf>
    <xf numFmtId="3" fontId="18" fillId="0" borderId="42" xfId="5" applyNumberFormat="1" applyFont="1" applyFill="1" applyBorder="1" applyAlignment="1">
      <alignment horizontal="right" vertical="center" indent="3"/>
    </xf>
    <xf numFmtId="3" fontId="18" fillId="0" borderId="0" xfId="13" applyNumberFormat="1" applyFont="1" applyFill="1" applyBorder="1" applyAlignment="1">
      <alignment horizontal="right" vertical="center" indent="1"/>
    </xf>
    <xf numFmtId="3" fontId="33" fillId="4" borderId="42" xfId="13" applyNumberFormat="1" applyFont="1" applyFill="1" applyBorder="1" applyAlignment="1">
      <alignment horizontal="right" vertical="center" indent="1"/>
    </xf>
    <xf numFmtId="1" fontId="18" fillId="0" borderId="48" xfId="5" applyNumberFormat="1" applyFont="1" applyFill="1" applyBorder="1" applyAlignment="1">
      <alignment horizontal="right" vertical="center" indent="1"/>
    </xf>
    <xf numFmtId="0" fontId="18" fillId="0" borderId="41" xfId="5" applyFont="1" applyFill="1" applyBorder="1" applyAlignment="1">
      <alignment horizontal="right" vertical="center" indent="3"/>
    </xf>
    <xf numFmtId="0" fontId="18" fillId="0" borderId="7" xfId="5" applyFont="1" applyFill="1" applyBorder="1" applyAlignment="1">
      <alignment horizontal="right" vertical="center" indent="3"/>
    </xf>
    <xf numFmtId="3" fontId="18" fillId="0" borderId="41" xfId="5" applyNumberFormat="1" applyFont="1" applyFill="1" applyBorder="1" applyAlignment="1">
      <alignment horizontal="right" vertical="center" indent="3"/>
    </xf>
    <xf numFmtId="3" fontId="18" fillId="0" borderId="7" xfId="5" applyNumberFormat="1" applyFont="1" applyFill="1" applyBorder="1" applyAlignment="1">
      <alignment horizontal="right" vertical="center" indent="3"/>
    </xf>
    <xf numFmtId="3" fontId="18" fillId="0" borderId="57" xfId="5" applyNumberFormat="1" applyFont="1" applyFill="1" applyBorder="1" applyAlignment="1">
      <alignment horizontal="right" vertical="center" indent="3"/>
    </xf>
    <xf numFmtId="173" fontId="18" fillId="0" borderId="41" xfId="13" applyNumberFormat="1" applyFont="1" applyFill="1" applyBorder="1" applyAlignment="1">
      <alignment horizontal="right" vertical="center" indent="1"/>
    </xf>
    <xf numFmtId="173" fontId="18" fillId="0" borderId="6" xfId="13" applyNumberFormat="1" applyFont="1" applyFill="1" applyBorder="1" applyAlignment="1">
      <alignment horizontal="right" vertical="center" indent="1"/>
    </xf>
    <xf numFmtId="3" fontId="18" fillId="0" borderId="41" xfId="5" applyNumberFormat="1" applyFont="1" applyFill="1" applyBorder="1" applyAlignment="1">
      <alignment horizontal="right" vertical="center" indent="1"/>
    </xf>
    <xf numFmtId="3" fontId="35" fillId="0" borderId="0" xfId="5" applyNumberFormat="1" applyFont="1" applyFill="1"/>
    <xf numFmtId="0" fontId="7" fillId="4" borderId="0" xfId="5" applyFont="1" applyFill="1"/>
    <xf numFmtId="0" fontId="36" fillId="0" borderId="0" xfId="1" applyFont="1" applyAlignment="1">
      <alignment horizontal="left" vertical="center" wrapText="1"/>
    </xf>
    <xf numFmtId="0" fontId="6" fillId="0" borderId="0" xfId="1"/>
    <xf numFmtId="0" fontId="39" fillId="0" borderId="0" xfId="1" applyFont="1" applyAlignment="1">
      <alignment vertical="top" wrapText="1"/>
    </xf>
    <xf numFmtId="0" fontId="40" fillId="0" borderId="0" xfId="1" applyFont="1" applyAlignment="1">
      <alignment horizontal="center" vertical="center" wrapText="1"/>
    </xf>
    <xf numFmtId="0" fontId="40" fillId="0" borderId="0" xfId="1" applyFont="1" applyAlignment="1">
      <alignment vertical="top" wrapText="1"/>
    </xf>
    <xf numFmtId="0" fontId="6" fillId="0" borderId="78" xfId="1" applyBorder="1" applyAlignment="1">
      <alignment horizontal="center" vertical="center" wrapText="1"/>
    </xf>
    <xf numFmtId="1" fontId="7" fillId="0" borderId="0" xfId="5" applyNumberFormat="1" applyFont="1" applyFill="1" applyAlignment="1">
      <alignment horizontal="right"/>
    </xf>
    <xf numFmtId="3" fontId="6" fillId="0" borderId="78" xfId="1" applyNumberFormat="1" applyBorder="1" applyAlignment="1">
      <alignment horizontal="center" vertical="center" wrapText="1"/>
    </xf>
    <xf numFmtId="3" fontId="6" fillId="5" borderId="78" xfId="1" applyNumberFormat="1" applyFill="1" applyBorder="1" applyAlignment="1">
      <alignment horizontal="center" vertical="center" wrapText="1"/>
    </xf>
    <xf numFmtId="0" fontId="7" fillId="0" borderId="0" xfId="5" applyNumberFormat="1" applyFont="1" applyFill="1"/>
    <xf numFmtId="3" fontId="6" fillId="0" borderId="78" xfId="1" applyNumberFormat="1" applyBorder="1" applyAlignment="1">
      <alignment horizontal="center" vertical="center" wrapText="1" readingOrder="2"/>
    </xf>
    <xf numFmtId="0" fontId="6" fillId="0" borderId="79" xfId="1" applyBorder="1" applyAlignment="1">
      <alignment horizontal="left" vertical="center" wrapText="1"/>
    </xf>
    <xf numFmtId="0" fontId="6" fillId="0" borderId="80" xfId="1" applyBorder="1" applyAlignment="1">
      <alignment horizontal="left" vertical="center" wrapText="1"/>
    </xf>
    <xf numFmtId="0" fontId="6" fillId="0" borderId="81" xfId="1" applyBorder="1" applyAlignment="1">
      <alignment horizontal="left" vertical="center" wrapText="1"/>
    </xf>
    <xf numFmtId="0" fontId="41" fillId="0" borderId="0" xfId="1" applyFont="1" applyAlignment="1">
      <alignment horizontal="center" vertical="center"/>
    </xf>
    <xf numFmtId="3" fontId="6" fillId="5" borderId="78" xfId="1" applyNumberFormat="1" applyFill="1" applyBorder="1" applyAlignment="1">
      <alignment horizontal="right" vertical="center" wrapText="1"/>
    </xf>
    <xf numFmtId="0" fontId="6" fillId="0" borderId="78" xfId="1" applyBorder="1" applyAlignment="1">
      <alignment horizontal="right" vertical="center" wrapText="1"/>
    </xf>
    <xf numFmtId="3" fontId="6" fillId="6" borderId="78" xfId="1" applyNumberFormat="1" applyFill="1" applyBorder="1" applyAlignment="1">
      <alignment horizontal="right" vertical="center" wrapText="1"/>
    </xf>
    <xf numFmtId="0" fontId="6" fillId="6" borderId="78" xfId="1" applyFill="1" applyBorder="1" applyAlignment="1">
      <alignment horizontal="right" vertical="center" wrapText="1"/>
    </xf>
    <xf numFmtId="19" fontId="36" fillId="0" borderId="0" xfId="1" applyNumberFormat="1" applyFont="1" applyAlignment="1">
      <alignment horizontal="right" vertical="center" wrapText="1"/>
    </xf>
    <xf numFmtId="0" fontId="36" fillId="0" borderId="0" xfId="1" applyFont="1" applyAlignment="1">
      <alignment horizontal="right" vertical="center" wrapText="1"/>
    </xf>
    <xf numFmtId="0" fontId="37" fillId="0" borderId="0" xfId="1" applyFont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6" fillId="0" borderId="0" xfId="1" applyAlignment="1">
      <alignment vertical="top" wrapText="1"/>
    </xf>
    <xf numFmtId="0" fontId="6" fillId="0" borderId="0" xfId="1" applyAlignment="1">
      <alignment horizontal="right" vertical="top" wrapText="1"/>
    </xf>
    <xf numFmtId="0" fontId="42" fillId="0" borderId="0" xfId="1" applyFont="1" applyAlignment="1">
      <alignment vertical="center" wrapText="1"/>
    </xf>
    <xf numFmtId="0" fontId="6" fillId="0" borderId="0" xfId="1" applyAlignment="1">
      <alignment horizontal="center" vertical="top" wrapText="1"/>
    </xf>
    <xf numFmtId="0" fontId="42" fillId="0" borderId="0" xfId="1" applyFon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6" fillId="0" borderId="82" xfId="1" applyBorder="1" applyAlignment="1">
      <alignment vertical="center" wrapText="1"/>
    </xf>
    <xf numFmtId="0" fontId="6" fillId="7" borderId="0" xfId="1" applyFill="1" applyAlignment="1">
      <alignment vertical="center" wrapText="1"/>
    </xf>
    <xf numFmtId="0" fontId="6" fillId="0" borderId="0" xfId="1" applyAlignment="1">
      <alignment vertical="center" wrapText="1"/>
    </xf>
    <xf numFmtId="0" fontId="6" fillId="0" borderId="0" xfId="1" applyAlignment="1">
      <alignment horizontal="right" vertical="center" wrapText="1"/>
    </xf>
    <xf numFmtId="0" fontId="6" fillId="8" borderId="83" xfId="1" applyFill="1" applyBorder="1" applyAlignment="1">
      <alignment vertical="center" wrapText="1"/>
    </xf>
    <xf numFmtId="0" fontId="6" fillId="8" borderId="83" xfId="1" applyFill="1" applyBorder="1" applyAlignment="1">
      <alignment horizontal="right" vertical="center" wrapText="1"/>
    </xf>
    <xf numFmtId="0" fontId="6" fillId="0" borderId="84" xfId="1" applyBorder="1" applyAlignment="1">
      <alignment vertical="center" wrapText="1"/>
    </xf>
    <xf numFmtId="0" fontId="6" fillId="5" borderId="83" xfId="1" applyFill="1" applyBorder="1" applyAlignment="1">
      <alignment horizontal="right" vertical="center" wrapText="1"/>
    </xf>
    <xf numFmtId="0" fontId="6" fillId="9" borderId="0" xfId="1" applyFill="1" applyAlignment="1">
      <alignment vertical="center" wrapText="1"/>
    </xf>
    <xf numFmtId="0" fontId="6" fillId="9" borderId="0" xfId="1" applyFill="1" applyAlignment="1">
      <alignment horizontal="right" vertical="center" wrapText="1"/>
    </xf>
    <xf numFmtId="3" fontId="6" fillId="9" borderId="0" xfId="1" applyNumberFormat="1" applyFill="1" applyAlignment="1">
      <alignment horizontal="right" vertical="center" wrapText="1"/>
    </xf>
    <xf numFmtId="0" fontId="23" fillId="0" borderId="27" xfId="1" applyFont="1" applyFill="1" applyBorder="1" applyAlignment="1">
      <alignment horizontal="center" vertical="center"/>
    </xf>
    <xf numFmtId="0" fontId="23" fillId="0" borderId="75" xfId="1" applyFont="1" applyFill="1" applyBorder="1" applyAlignment="1">
      <alignment horizontal="center" vertical="center"/>
    </xf>
    <xf numFmtId="0" fontId="17" fillId="0" borderId="46" xfId="1" applyFont="1" applyFill="1" applyBorder="1" applyAlignment="1">
      <alignment horizontal="right" vertical="center" indent="2"/>
    </xf>
    <xf numFmtId="174" fontId="12" fillId="0" borderId="61" xfId="1" applyNumberFormat="1" applyFont="1" applyFill="1" applyBorder="1" applyAlignment="1">
      <alignment horizontal="right" vertical="center" indent="2"/>
    </xf>
    <xf numFmtId="0" fontId="12" fillId="0" borderId="42" xfId="14" applyFont="1" applyFill="1" applyBorder="1" applyAlignment="1">
      <alignment horizontal="right" vertical="center" indent="2"/>
    </xf>
    <xf numFmtId="0" fontId="17" fillId="0" borderId="68" xfId="1" applyFont="1" applyFill="1" applyBorder="1" applyAlignment="1">
      <alignment horizontal="right" vertical="center" indent="2"/>
    </xf>
    <xf numFmtId="174" fontId="12" fillId="0" borderId="7" xfId="1" applyNumberFormat="1" applyFont="1" applyFill="1" applyBorder="1" applyAlignment="1">
      <alignment horizontal="right" vertical="center" indent="2"/>
    </xf>
    <xf numFmtId="0" fontId="7" fillId="0" borderId="0" xfId="1" applyFont="1" applyFill="1" applyAlignment="1">
      <alignment horizontal="right" readingOrder="2"/>
    </xf>
    <xf numFmtId="0" fontId="10" fillId="0" borderId="20" xfId="1" applyFont="1" applyFill="1" applyBorder="1" applyAlignment="1">
      <alignment horizontal="center" vertical="center"/>
    </xf>
    <xf numFmtId="2" fontId="7" fillId="0" borderId="0" xfId="1" applyNumberFormat="1" applyFont="1" applyFill="1"/>
    <xf numFmtId="3" fontId="10" fillId="0" borderId="0" xfId="1" applyNumberFormat="1" applyFont="1" applyFill="1" applyBorder="1" applyAlignment="1">
      <alignment horizontal="right" vertical="center"/>
    </xf>
    <xf numFmtId="2" fontId="7" fillId="0" borderId="0" xfId="1" applyNumberFormat="1" applyFont="1" applyFill="1" applyBorder="1"/>
    <xf numFmtId="0" fontId="7" fillId="0" borderId="0" xfId="1" applyFont="1" applyFill="1" applyAlignment="1">
      <alignment horizontal="center"/>
    </xf>
    <xf numFmtId="3" fontId="12" fillId="0" borderId="46" xfId="1" applyNumberFormat="1" applyFont="1" applyFill="1" applyBorder="1" applyAlignment="1">
      <alignment horizontal="right" vertical="center" indent="1"/>
    </xf>
    <xf numFmtId="174" fontId="12" fillId="0" borderId="61" xfId="1" applyNumberFormat="1" applyFont="1" applyFill="1" applyBorder="1" applyAlignment="1">
      <alignment horizontal="right" vertical="center" indent="1"/>
    </xf>
    <xf numFmtId="3" fontId="12" fillId="0" borderId="6" xfId="1" applyNumberFormat="1" applyFont="1" applyFill="1" applyBorder="1" applyAlignment="1">
      <alignment horizontal="right" vertical="center" indent="1"/>
    </xf>
    <xf numFmtId="3" fontId="12" fillId="0" borderId="68" xfId="1" applyNumberFormat="1" applyFont="1" applyFill="1" applyBorder="1" applyAlignment="1">
      <alignment horizontal="right" vertical="center" indent="1"/>
    </xf>
    <xf numFmtId="174" fontId="12" fillId="0" borderId="7" xfId="1" applyNumberFormat="1" applyFont="1" applyFill="1" applyBorder="1" applyAlignment="1">
      <alignment horizontal="right" vertical="center" indent="1"/>
    </xf>
    <xf numFmtId="0" fontId="47" fillId="0" borderId="0" xfId="1" applyFont="1" applyFill="1"/>
    <xf numFmtId="0" fontId="17" fillId="0" borderId="75" xfId="1" applyFont="1" applyFill="1" applyBorder="1" applyAlignment="1">
      <alignment horizontal="center" vertical="center"/>
    </xf>
    <xf numFmtId="3" fontId="47" fillId="0" borderId="40" xfId="1" applyNumberFormat="1" applyFont="1" applyFill="1" applyBorder="1" applyAlignment="1">
      <alignment horizontal="right" vertical="center" indent="2"/>
    </xf>
    <xf numFmtId="3" fontId="47" fillId="0" borderId="4" xfId="1" applyNumberFormat="1" applyFont="1" applyFill="1" applyBorder="1" applyAlignment="1">
      <alignment horizontal="right" vertical="center" indent="2"/>
    </xf>
    <xf numFmtId="3" fontId="47" fillId="0" borderId="42" xfId="1" applyNumberFormat="1" applyFont="1" applyFill="1" applyBorder="1" applyAlignment="1">
      <alignment horizontal="right" vertical="center" indent="2"/>
    </xf>
    <xf numFmtId="3" fontId="47" fillId="0" borderId="61" xfId="1" applyNumberFormat="1" applyFont="1" applyFill="1" applyBorder="1" applyAlignment="1">
      <alignment horizontal="right" vertical="center" indent="2"/>
    </xf>
    <xf numFmtId="3" fontId="47" fillId="0" borderId="0" xfId="1" applyNumberFormat="1" applyFont="1" applyFill="1"/>
    <xf numFmtId="0" fontId="47" fillId="4" borderId="0" xfId="1" applyFont="1" applyFill="1"/>
    <xf numFmtId="0" fontId="17" fillId="0" borderId="59" xfId="1" applyFont="1" applyFill="1" applyBorder="1" applyAlignment="1">
      <alignment horizontal="center" vertical="center"/>
    </xf>
    <xf numFmtId="3" fontId="47" fillId="0" borderId="37" xfId="1" applyNumberFormat="1" applyFont="1" applyFill="1" applyBorder="1" applyAlignment="1">
      <alignment horizontal="right" vertical="center" indent="2"/>
    </xf>
    <xf numFmtId="3" fontId="47" fillId="0" borderId="35" xfId="1" applyNumberFormat="1" applyFont="1" applyFill="1" applyBorder="1" applyAlignment="1">
      <alignment horizontal="right" vertical="center" indent="2"/>
    </xf>
    <xf numFmtId="0" fontId="49" fillId="10" borderId="85" xfId="1" applyFont="1" applyFill="1" applyBorder="1" applyAlignment="1">
      <alignment horizontal="center" vertical="center" wrapText="1" readingOrder="2"/>
    </xf>
    <xf numFmtId="0" fontId="49" fillId="10" borderId="44" xfId="1" applyFont="1" applyFill="1" applyBorder="1" applyAlignment="1">
      <alignment horizontal="center" vertical="center" wrapText="1" readingOrder="2"/>
    </xf>
    <xf numFmtId="0" fontId="12" fillId="0" borderId="0" xfId="1" applyFont="1" applyFill="1" applyAlignment="1"/>
    <xf numFmtId="3" fontId="50" fillId="0" borderId="0" xfId="1" applyNumberFormat="1" applyFont="1" applyFill="1" applyAlignment="1"/>
    <xf numFmtId="0" fontId="52" fillId="0" borderId="0" xfId="17" applyFont="1"/>
    <xf numFmtId="3" fontId="18" fillId="0" borderId="44" xfId="1" applyNumberFormat="1" applyFont="1" applyFill="1" applyBorder="1" applyAlignment="1">
      <alignment horizontal="center" vertical="center"/>
    </xf>
    <xf numFmtId="3" fontId="18" fillId="0" borderId="59" xfId="1" applyNumberFormat="1" applyFont="1" applyFill="1" applyBorder="1" applyAlignment="1">
      <alignment horizontal="center" vertical="center"/>
    </xf>
    <xf numFmtId="0" fontId="11" fillId="0" borderId="0" xfId="1" applyFont="1" applyFill="1" applyAlignment="1"/>
    <xf numFmtId="0" fontId="54" fillId="0" borderId="0" xfId="1" applyFont="1" applyFill="1" applyAlignment="1"/>
    <xf numFmtId="3" fontId="54" fillId="0" borderId="0" xfId="1" applyNumberFormat="1" applyFont="1" applyFill="1" applyAlignment="1"/>
    <xf numFmtId="0" fontId="55" fillId="0" borderId="0" xfId="1" applyFont="1" applyFill="1"/>
    <xf numFmtId="0" fontId="17" fillId="0" borderId="0" xfId="1" applyFont="1" applyFill="1"/>
    <xf numFmtId="0" fontId="9" fillId="0" borderId="0" xfId="1" applyFont="1" applyFill="1" applyAlignment="1">
      <alignment textRotation="180"/>
    </xf>
    <xf numFmtId="0" fontId="18" fillId="0" borderId="0" xfId="1" applyFont="1" applyFill="1" applyAlignment="1">
      <alignment vertical="center"/>
    </xf>
    <xf numFmtId="3" fontId="18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horizontal="left"/>
    </xf>
    <xf numFmtId="0" fontId="17" fillId="0" borderId="0" xfId="1" applyFont="1" applyFill="1" applyBorder="1" applyAlignment="1">
      <alignment horizontal="right"/>
    </xf>
    <xf numFmtId="0" fontId="18" fillId="0" borderId="0" xfId="1" applyFont="1" applyFill="1"/>
    <xf numFmtId="0" fontId="57" fillId="0" borderId="0" xfId="1" applyFont="1" applyFill="1" applyAlignment="1">
      <alignment readingOrder="2"/>
    </xf>
    <xf numFmtId="0" fontId="23" fillId="0" borderId="0" xfId="1" applyFont="1" applyFill="1" applyBorder="1" applyAlignment="1">
      <alignment horizontal="center" vertical="center"/>
    </xf>
    <xf numFmtId="3" fontId="59" fillId="0" borderId="0" xfId="1" applyNumberFormat="1" applyFont="1" applyFill="1" applyAlignment="1">
      <alignment readingOrder="2"/>
    </xf>
    <xf numFmtId="0" fontId="59" fillId="0" borderId="0" xfId="1" applyFont="1" applyFill="1" applyAlignment="1">
      <alignment readingOrder="2"/>
    </xf>
    <xf numFmtId="0" fontId="59" fillId="0" borderId="0" xfId="1" applyFont="1" applyFill="1" applyBorder="1" applyAlignment="1">
      <alignment readingOrder="2"/>
    </xf>
    <xf numFmtId="4" fontId="10" fillId="0" borderId="0" xfId="1" applyNumberFormat="1" applyFont="1" applyFill="1" applyBorder="1" applyAlignment="1">
      <alignment horizontal="right" vertical="center"/>
    </xf>
    <xf numFmtId="175" fontId="10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60" fillId="0" borderId="0" xfId="1" applyFont="1" applyFill="1"/>
    <xf numFmtId="3" fontId="60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168" fontId="7" fillId="0" borderId="0" xfId="1" applyNumberFormat="1" applyFont="1" applyFill="1"/>
    <xf numFmtId="0" fontId="7" fillId="0" borderId="0" xfId="1" applyFont="1" applyFill="1" applyAlignment="1">
      <alignment horizontal="center" vertical="center"/>
    </xf>
    <xf numFmtId="3" fontId="7" fillId="0" borderId="0" xfId="1" applyNumberFormat="1" applyFont="1" applyFill="1" applyAlignment="1">
      <alignment horizontal="center" vertical="center"/>
    </xf>
    <xf numFmtId="3" fontId="18" fillId="0" borderId="75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3" fontId="54" fillId="0" borderId="0" xfId="1" applyNumberFormat="1" applyFont="1" applyFill="1" applyAlignment="1">
      <alignment horizontal="center" vertical="center"/>
    </xf>
    <xf numFmtId="175" fontId="54" fillId="0" borderId="0" xfId="1" applyNumberFormat="1" applyFont="1" applyFill="1" applyAlignment="1">
      <alignment horizontal="center" vertical="center"/>
    </xf>
    <xf numFmtId="1" fontId="7" fillId="0" borderId="0" xfId="1" applyNumberFormat="1" applyFont="1" applyFill="1" applyAlignment="1">
      <alignment horizontal="center" vertical="center"/>
    </xf>
    <xf numFmtId="3" fontId="60" fillId="0" borderId="0" xfId="1" applyNumberFormat="1" applyFont="1" applyFill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3" fontId="7" fillId="0" borderId="0" xfId="1" applyNumberFormat="1" applyFont="1" applyFill="1" applyBorder="1"/>
    <xf numFmtId="3" fontId="12" fillId="0" borderId="42" xfId="1" applyNumberFormat="1" applyFont="1" applyFill="1" applyBorder="1" applyAlignment="1">
      <alignment horizontal="right" vertical="center" indent="1"/>
    </xf>
    <xf numFmtId="10" fontId="12" fillId="0" borderId="61" xfId="1" applyNumberFormat="1" applyFont="1" applyFill="1" applyBorder="1" applyAlignment="1">
      <alignment horizontal="right" vertical="center" indent="2"/>
    </xf>
    <xf numFmtId="0" fontId="7" fillId="0" borderId="0" xfId="1" applyNumberFormat="1" applyFont="1" applyFill="1"/>
    <xf numFmtId="10" fontId="12" fillId="0" borderId="61" xfId="1" applyNumberFormat="1" applyFont="1" applyFill="1" applyBorder="1" applyAlignment="1">
      <alignment horizontal="right" vertical="center"/>
    </xf>
    <xf numFmtId="10" fontId="12" fillId="0" borderId="7" xfId="1" applyNumberFormat="1" applyFont="1" applyFill="1" applyBorder="1" applyAlignment="1">
      <alignment horizontal="right" vertical="center" indent="2"/>
    </xf>
    <xf numFmtId="0" fontId="11" fillId="0" borderId="0" xfId="1" applyFont="1" applyFill="1" applyAlignment="1">
      <alignment horizontal="right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16" fillId="0" borderId="44" xfId="1" applyFont="1" applyFill="1" applyBorder="1" applyAlignment="1">
      <alignment horizontal="center" vertical="center"/>
    </xf>
    <xf numFmtId="0" fontId="16" fillId="0" borderId="53" xfId="1" applyFont="1" applyFill="1" applyBorder="1" applyAlignment="1">
      <alignment horizontal="center" vertical="center"/>
    </xf>
    <xf numFmtId="0" fontId="16" fillId="0" borderId="54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6" fillId="0" borderId="35" xfId="1" applyFont="1" applyFill="1" applyBorder="1" applyAlignment="1">
      <alignment horizontal="center" vertical="center"/>
    </xf>
    <xf numFmtId="0" fontId="16" fillId="0" borderId="64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3" fontId="18" fillId="0" borderId="46" xfId="1" applyNumberFormat="1" applyFont="1" applyFill="1" applyBorder="1" applyAlignment="1">
      <alignment horizontal="center" vertical="center"/>
    </xf>
    <xf numFmtId="3" fontId="18" fillId="0" borderId="61" xfId="1" applyNumberFormat="1" applyFont="1" applyFill="1" applyBorder="1" applyAlignment="1">
      <alignment horizontal="center" vertical="center"/>
    </xf>
    <xf numFmtId="3" fontId="18" fillId="0" borderId="4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3" fontId="60" fillId="0" borderId="0" xfId="19" applyNumberFormat="1" applyFont="1" applyFill="1" applyBorder="1" applyAlignment="1">
      <alignment horizontal="center" vertical="center" readingOrder="2"/>
    </xf>
    <xf numFmtId="3" fontId="65" fillId="0" borderId="0" xfId="19" applyNumberFormat="1" applyFont="1" applyFill="1" applyBorder="1" applyAlignment="1">
      <alignment horizontal="center" vertical="center" readingOrder="2"/>
    </xf>
    <xf numFmtId="0" fontId="7" fillId="0" borderId="0" xfId="1" applyFont="1" applyFill="1" applyBorder="1" applyAlignment="1">
      <alignment horizontal="center" vertical="center"/>
    </xf>
    <xf numFmtId="3" fontId="18" fillId="0" borderId="25" xfId="1" applyNumberFormat="1" applyFont="1" applyFill="1" applyBorder="1" applyAlignment="1">
      <alignment horizontal="center" vertical="center"/>
    </xf>
    <xf numFmtId="3" fontId="18" fillId="0" borderId="35" xfId="1" applyNumberFormat="1" applyFont="1" applyFill="1" applyBorder="1" applyAlignment="1">
      <alignment horizontal="center" vertical="center"/>
    </xf>
    <xf numFmtId="3" fontId="18" fillId="0" borderId="68" xfId="1" applyNumberFormat="1" applyFont="1" applyFill="1" applyBorder="1" applyAlignment="1">
      <alignment horizontal="center" vertical="center"/>
    </xf>
    <xf numFmtId="3" fontId="18" fillId="0" borderId="41" xfId="1" applyNumberFormat="1" applyFont="1" applyFill="1" applyBorder="1" applyAlignment="1">
      <alignment horizontal="center" vertical="center"/>
    </xf>
    <xf numFmtId="3" fontId="18" fillId="0" borderId="58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0" fillId="0" borderId="4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58" fillId="0" borderId="0" xfId="1" applyNumberFormat="1" applyFont="1" applyFill="1" applyBorder="1" applyAlignment="1">
      <alignment horizontal="center" vertical="center"/>
    </xf>
    <xf numFmtId="3" fontId="18" fillId="0" borderId="60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66" fillId="11" borderId="0" xfId="1" applyFont="1" applyFill="1" applyAlignment="1">
      <alignment vertical="center" readingOrder="2"/>
    </xf>
    <xf numFmtId="0" fontId="6" fillId="0" borderId="0" xfId="1" applyAlignment="1">
      <alignment horizontal="center" vertical="center"/>
    </xf>
    <xf numFmtId="0" fontId="66" fillId="0" borderId="0" xfId="1" applyFont="1" applyAlignment="1">
      <alignment horizontal="center" vertical="center" readingOrder="2"/>
    </xf>
    <xf numFmtId="0" fontId="6" fillId="0" borderId="0" xfId="1" applyAlignment="1">
      <alignment horizontal="right"/>
    </xf>
    <xf numFmtId="0" fontId="67" fillId="0" borderId="0" xfId="1" applyFont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47" fillId="12" borderId="0" xfId="1" applyFont="1" applyFill="1" applyAlignment="1">
      <alignment horizontal="center" vertical="center" wrapText="1"/>
    </xf>
    <xf numFmtId="0" fontId="47" fillId="12" borderId="0" xfId="1" applyFont="1" applyFill="1" applyAlignment="1">
      <alignment horizontal="right" vertical="center" wrapText="1" readingOrder="2"/>
    </xf>
    <xf numFmtId="0" fontId="67" fillId="0" borderId="0" xfId="1" applyFont="1" applyAlignment="1">
      <alignment horizontal="right"/>
    </xf>
    <xf numFmtId="169" fontId="67" fillId="0" borderId="0" xfId="1" applyNumberFormat="1" applyFont="1" applyAlignment="1">
      <alignment horizontal="center" vertical="center"/>
    </xf>
    <xf numFmtId="169" fontId="6" fillId="0" borderId="0" xfId="1" applyNumberFormat="1" applyAlignment="1">
      <alignment horizontal="center" vertical="center"/>
    </xf>
    <xf numFmtId="0" fontId="68" fillId="11" borderId="0" xfId="1" applyFont="1" applyFill="1" applyAlignment="1">
      <alignment vertical="center" readingOrder="2"/>
    </xf>
    <xf numFmtId="169" fontId="6" fillId="0" borderId="0" xfId="1" applyNumberFormat="1" applyAlignment="1">
      <alignment horizontal="center" vertical="center" wrapText="1"/>
    </xf>
    <xf numFmtId="0" fontId="67" fillId="0" borderId="0" xfId="1" applyFont="1"/>
    <xf numFmtId="0" fontId="7" fillId="0" borderId="0" xfId="5" applyFont="1" applyFill="1" applyAlignment="1">
      <alignment horizontal="center" vertical="center"/>
    </xf>
    <xf numFmtId="0" fontId="10" fillId="0" borderId="44" xfId="5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/>
    </xf>
    <xf numFmtId="0" fontId="10" fillId="0" borderId="40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69" xfId="5" applyFont="1" applyFill="1" applyBorder="1" applyAlignment="1">
      <alignment horizontal="center" vertical="center"/>
    </xf>
    <xf numFmtId="0" fontId="69" fillId="0" borderId="2" xfId="5" applyFont="1" applyFill="1" applyBorder="1" applyAlignment="1">
      <alignment horizontal="center" vertical="center"/>
    </xf>
    <xf numFmtId="0" fontId="47" fillId="0" borderId="8" xfId="5" applyFont="1" applyFill="1" applyBorder="1" applyAlignment="1">
      <alignment horizontal="center" vertical="center"/>
    </xf>
    <xf numFmtId="0" fontId="47" fillId="0" borderId="9" xfId="5" applyFont="1" applyFill="1" applyBorder="1" applyAlignment="1">
      <alignment horizontal="center" vertical="center"/>
    </xf>
    <xf numFmtId="0" fontId="47" fillId="0" borderId="11" xfId="5" applyFont="1" applyFill="1" applyBorder="1" applyAlignment="1">
      <alignment horizontal="center" vertical="center"/>
    </xf>
    <xf numFmtId="0" fontId="70" fillId="0" borderId="86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 vertical="center"/>
    </xf>
    <xf numFmtId="0" fontId="10" fillId="0" borderId="46" xfId="5" applyFont="1" applyFill="1" applyBorder="1" applyAlignment="1">
      <alignment horizontal="center" vertical="center"/>
    </xf>
    <xf numFmtId="0" fontId="47" fillId="0" borderId="15" xfId="5" applyFont="1" applyFill="1" applyBorder="1" applyAlignment="1">
      <alignment horizontal="center" vertical="center"/>
    </xf>
    <xf numFmtId="0" fontId="47" fillId="0" borderId="16" xfId="5" applyFont="1" applyFill="1" applyBorder="1" applyAlignment="1">
      <alignment horizontal="center" vertical="center"/>
    </xf>
    <xf numFmtId="0" fontId="47" fillId="0" borderId="18" xfId="5" applyFont="1" applyFill="1" applyBorder="1" applyAlignment="1">
      <alignment horizontal="center" vertical="center"/>
    </xf>
    <xf numFmtId="0" fontId="47" fillId="0" borderId="45" xfId="5" applyFont="1" applyFill="1" applyBorder="1" applyAlignment="1">
      <alignment horizontal="center" vertical="center"/>
    </xf>
    <xf numFmtId="0" fontId="10" fillId="0" borderId="46" xfId="5" applyFont="1" applyFill="1" applyBorder="1" applyAlignment="1">
      <alignment horizontal="center" vertical="center" readingOrder="1"/>
    </xf>
    <xf numFmtId="0" fontId="47" fillId="2" borderId="45" xfId="5" applyFont="1" applyFill="1" applyBorder="1" applyAlignment="1">
      <alignment horizontal="center" vertical="center"/>
    </xf>
    <xf numFmtId="0" fontId="47" fillId="0" borderId="32" xfId="5" applyFont="1" applyFill="1" applyBorder="1" applyAlignment="1">
      <alignment horizontal="center" vertical="center"/>
    </xf>
    <xf numFmtId="0" fontId="47" fillId="0" borderId="33" xfId="5" applyFont="1" applyFill="1" applyBorder="1" applyAlignment="1">
      <alignment horizontal="center" vertical="center"/>
    </xf>
    <xf numFmtId="0" fontId="47" fillId="0" borderId="31" xfId="5" applyFont="1" applyFill="1" applyBorder="1" applyAlignment="1">
      <alignment horizontal="center" vertical="center"/>
    </xf>
    <xf numFmtId="0" fontId="47" fillId="0" borderId="87" xfId="5" applyFont="1" applyFill="1" applyBorder="1" applyAlignment="1">
      <alignment horizontal="center" vertical="center"/>
    </xf>
    <xf numFmtId="0" fontId="47" fillId="0" borderId="41" xfId="5" applyFont="1" applyFill="1" applyBorder="1" applyAlignment="1">
      <alignment horizontal="center" vertical="center"/>
    </xf>
    <xf numFmtId="0" fontId="47" fillId="0" borderId="5" xfId="5" applyFont="1" applyFill="1" applyBorder="1" applyAlignment="1">
      <alignment horizontal="center" vertical="center"/>
    </xf>
    <xf numFmtId="0" fontId="47" fillId="0" borderId="6" xfId="5" applyFont="1" applyFill="1" applyBorder="1" applyAlignment="1">
      <alignment horizontal="center" vertical="center"/>
    </xf>
    <xf numFmtId="0" fontId="47" fillId="0" borderId="7" xfId="5" applyFont="1" applyFill="1" applyBorder="1" applyAlignment="1">
      <alignment horizontal="center" vertical="center"/>
    </xf>
    <xf numFmtId="0" fontId="47" fillId="0" borderId="58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71" fillId="0" borderId="0" xfId="5" applyFont="1" applyFill="1" applyBorder="1" applyAlignment="1">
      <alignment horizontal="center" vertical="center"/>
    </xf>
    <xf numFmtId="0" fontId="72" fillId="0" borderId="0" xfId="5" applyFont="1" applyFill="1" applyBorder="1" applyAlignment="1">
      <alignment horizontal="center" vertical="center"/>
    </xf>
    <xf numFmtId="1" fontId="12" fillId="0" borderId="11" xfId="2" applyNumberFormat="1" applyFont="1" applyFill="1" applyBorder="1" applyAlignment="1">
      <alignment horizontal="center" vertical="center"/>
    </xf>
    <xf numFmtId="1" fontId="12" fillId="0" borderId="14" xfId="2" applyNumberFormat="1" applyFont="1" applyFill="1" applyBorder="1" applyAlignment="1">
      <alignment horizontal="center" vertical="center"/>
    </xf>
    <xf numFmtId="1" fontId="12" fillId="0" borderId="17" xfId="2" applyNumberFormat="1" applyFont="1" applyFill="1" applyBorder="1" applyAlignment="1">
      <alignment horizontal="center" vertical="center"/>
    </xf>
    <xf numFmtId="1" fontId="12" fillId="0" borderId="18" xfId="2" applyNumberFormat="1" applyFont="1" applyFill="1" applyBorder="1" applyAlignment="1">
      <alignment horizontal="center" vertical="center"/>
    </xf>
    <xf numFmtId="1" fontId="12" fillId="0" borderId="19" xfId="2" applyNumberFormat="1" applyFont="1" applyFill="1" applyBorder="1" applyAlignment="1">
      <alignment horizontal="center" vertical="center"/>
    </xf>
    <xf numFmtId="1" fontId="12" fillId="2" borderId="19" xfId="2" applyNumberFormat="1" applyFont="1" applyFill="1" applyBorder="1" applyAlignment="1">
      <alignment horizontal="center" vertical="center"/>
    </xf>
    <xf numFmtId="1" fontId="12" fillId="0" borderId="27" xfId="1" applyNumberFormat="1" applyFont="1" applyFill="1" applyBorder="1" applyAlignment="1">
      <alignment horizontal="center" vertical="center"/>
    </xf>
    <xf numFmtId="1" fontId="12" fillId="0" borderId="27" xfId="2" applyNumberFormat="1" applyFont="1" applyFill="1" applyBorder="1" applyAlignment="1">
      <alignment horizontal="center" vertical="center"/>
    </xf>
    <xf numFmtId="1" fontId="12" fillId="0" borderId="28" xfId="2" applyNumberFormat="1" applyFont="1" applyFill="1" applyBorder="1" applyAlignment="1">
      <alignment horizontal="center" vertical="center"/>
    </xf>
    <xf numFmtId="1" fontId="12" fillId="0" borderId="10" xfId="1" applyNumberFormat="1" applyFont="1" applyFill="1" applyBorder="1" applyAlignment="1">
      <alignment horizontal="center" vertical="center"/>
    </xf>
    <xf numFmtId="1" fontId="12" fillId="0" borderId="10" xfId="2" applyNumberFormat="1" applyFont="1" applyFill="1" applyBorder="1" applyAlignment="1">
      <alignment horizontal="center" vertical="center"/>
    </xf>
    <xf numFmtId="1" fontId="12" fillId="2" borderId="18" xfId="1" applyNumberFormat="1" applyFont="1" applyFill="1" applyBorder="1" applyAlignment="1">
      <alignment horizontal="center" vertical="center"/>
    </xf>
    <xf numFmtId="1" fontId="12" fillId="0" borderId="35" xfId="1" applyNumberFormat="1" applyFont="1" applyFill="1" applyBorder="1" applyAlignment="1">
      <alignment horizontal="center" vertical="center"/>
    </xf>
    <xf numFmtId="1" fontId="12" fillId="0" borderId="6" xfId="1" applyNumberFormat="1" applyFont="1" applyFill="1" applyBorder="1" applyAlignment="1">
      <alignment horizontal="center" vertical="center"/>
    </xf>
    <xf numFmtId="1" fontId="12" fillId="0" borderId="7" xfId="1" applyNumberFormat="1" applyFont="1" applyFill="1" applyBorder="1" applyAlignment="1">
      <alignment horizontal="center" vertical="center"/>
    </xf>
    <xf numFmtId="165" fontId="14" fillId="0" borderId="0" xfId="3" applyFont="1" applyFill="1" applyBorder="1" applyAlignment="1">
      <alignment horizontal="right" vertical="center"/>
    </xf>
    <xf numFmtId="1" fontId="14" fillId="0" borderId="0" xfId="3" applyNumberFormat="1" applyFont="1" applyFill="1" applyBorder="1" applyAlignment="1">
      <alignment horizontal="right" vertical="center"/>
    </xf>
    <xf numFmtId="0" fontId="17" fillId="0" borderId="44" xfId="5" applyFont="1" applyFill="1" applyBorder="1" applyAlignment="1">
      <alignment horizontal="center" vertical="center"/>
    </xf>
    <xf numFmtId="0" fontId="17" fillId="0" borderId="57" xfId="5" applyFont="1" applyFill="1" applyBorder="1" applyAlignment="1">
      <alignment horizontal="center" vertical="center" textRotation="90"/>
    </xf>
    <xf numFmtId="0" fontId="17" fillId="0" borderId="5" xfId="5" applyFont="1" applyFill="1" applyBorder="1" applyAlignment="1">
      <alignment horizontal="center" vertical="center" textRotation="90"/>
    </xf>
    <xf numFmtId="0" fontId="17" fillId="0" borderId="6" xfId="5" applyFont="1" applyFill="1" applyBorder="1" applyAlignment="1">
      <alignment horizontal="center" vertical="center" textRotation="90" wrapText="1"/>
    </xf>
    <xf numFmtId="0" fontId="17" fillId="0" borderId="6" xfId="5" applyFont="1" applyFill="1" applyBorder="1" applyAlignment="1">
      <alignment horizontal="center" vertical="center" textRotation="90"/>
    </xf>
    <xf numFmtId="0" fontId="17" fillId="0" borderId="56" xfId="5" applyFont="1" applyFill="1" applyBorder="1" applyAlignment="1">
      <alignment horizontal="center" vertical="center"/>
    </xf>
    <xf numFmtId="0" fontId="76" fillId="0" borderId="16" xfId="5" applyNumberFormat="1" applyFont="1" applyFill="1" applyBorder="1" applyAlignment="1">
      <alignment horizontal="center" vertical="center"/>
    </xf>
    <xf numFmtId="0" fontId="77" fillId="0" borderId="16" xfId="5" applyNumberFormat="1" applyFont="1" applyFill="1" applyBorder="1" applyAlignment="1">
      <alignment horizontal="center" vertical="center" shrinkToFit="1"/>
    </xf>
    <xf numFmtId="3" fontId="76" fillId="0" borderId="56" xfId="5" applyNumberFormat="1" applyFont="1" applyFill="1" applyBorder="1" applyAlignment="1">
      <alignment horizontal="center" vertical="center"/>
    </xf>
    <xf numFmtId="0" fontId="17" fillId="0" borderId="19" xfId="5" applyFont="1" applyFill="1" applyBorder="1" applyAlignment="1">
      <alignment horizontal="center" vertical="center"/>
    </xf>
    <xf numFmtId="0" fontId="17" fillId="0" borderId="70" xfId="5" applyFont="1" applyFill="1" applyBorder="1" applyAlignment="1">
      <alignment horizontal="center" vertical="center"/>
    </xf>
    <xf numFmtId="3" fontId="76" fillId="0" borderId="57" xfId="5" applyNumberFormat="1" applyFont="1" applyFill="1" applyBorder="1" applyAlignment="1">
      <alignment horizontal="center" vertical="center"/>
    </xf>
    <xf numFmtId="3" fontId="76" fillId="0" borderId="44" xfId="5" applyNumberFormat="1" applyFont="1" applyFill="1" applyBorder="1" applyAlignment="1">
      <alignment horizontal="center" vertical="center"/>
    </xf>
    <xf numFmtId="3" fontId="7" fillId="0" borderId="0" xfId="5" applyNumberFormat="1" applyFont="1" applyFill="1" applyAlignment="1">
      <alignment vertical="center"/>
    </xf>
    <xf numFmtId="0" fontId="23" fillId="0" borderId="27" xfId="5" applyFont="1" applyFill="1" applyBorder="1" applyAlignment="1">
      <alignment horizontal="center" vertical="center"/>
    </xf>
    <xf numFmtId="3" fontId="23" fillId="0" borderId="71" xfId="5" applyNumberFormat="1" applyFont="1" applyFill="1" applyBorder="1"/>
    <xf numFmtId="3" fontId="12" fillId="0" borderId="71" xfId="5" applyNumberFormat="1" applyFont="1" applyFill="1" applyBorder="1" applyAlignment="1">
      <alignment horizontal="right" indent="1"/>
    </xf>
    <xf numFmtId="3" fontId="12" fillId="0" borderId="46" xfId="5" applyNumberFormat="1" applyFont="1" applyFill="1" applyBorder="1" applyAlignment="1">
      <alignment horizontal="right" vertical="center" indent="1"/>
    </xf>
    <xf numFmtId="9" fontId="12" fillId="0" borderId="4" xfId="5" applyNumberFormat="1" applyFont="1" applyFill="1" applyBorder="1" applyAlignment="1">
      <alignment horizontal="right" vertical="center" indent="1"/>
    </xf>
    <xf numFmtId="3" fontId="23" fillId="0" borderId="75" xfId="5" applyNumberFormat="1" applyFont="1" applyFill="1" applyBorder="1"/>
    <xf numFmtId="177" fontId="7" fillId="0" borderId="0" xfId="20" applyFont="1" applyFill="1"/>
    <xf numFmtId="3" fontId="12" fillId="0" borderId="75" xfId="5" applyNumberFormat="1" applyFont="1" applyFill="1" applyBorder="1" applyAlignment="1">
      <alignment horizontal="right" indent="1"/>
    </xf>
    <xf numFmtId="9" fontId="12" fillId="0" borderId="61" xfId="5" applyNumberFormat="1" applyFont="1" applyFill="1" applyBorder="1" applyAlignment="1">
      <alignment horizontal="right" vertical="center" indent="1"/>
    </xf>
    <xf numFmtId="0" fontId="16" fillId="0" borderId="75" xfId="5" applyFont="1" applyFill="1" applyBorder="1" applyAlignment="1">
      <alignment horizontal="center" vertical="center"/>
    </xf>
    <xf numFmtId="3" fontId="12" fillId="0" borderId="6" xfId="5" applyNumberFormat="1" applyFont="1" applyFill="1" applyBorder="1" applyAlignment="1">
      <alignment horizontal="right" vertical="center" indent="1"/>
    </xf>
    <xf numFmtId="3" fontId="12" fillId="0" borderId="68" xfId="5" applyNumberFormat="1" applyFont="1" applyFill="1" applyBorder="1" applyAlignment="1">
      <alignment horizontal="right" vertical="center" indent="1"/>
    </xf>
    <xf numFmtId="9" fontId="12" fillId="0" borderId="7" xfId="5" applyNumberFormat="1" applyFont="1" applyFill="1" applyBorder="1" applyAlignment="1">
      <alignment horizontal="right" vertical="center" indent="1"/>
    </xf>
    <xf numFmtId="0" fontId="11" fillId="0" borderId="0" xfId="5" applyFont="1" applyFill="1" applyBorder="1" applyAlignment="1">
      <alignment vertical="center"/>
    </xf>
    <xf numFmtId="9" fontId="7" fillId="0" borderId="0" xfId="5" applyNumberFormat="1" applyFont="1" applyFill="1"/>
    <xf numFmtId="177" fontId="7" fillId="0" borderId="0" xfId="5" applyNumberFormat="1" applyFont="1" applyFill="1"/>
    <xf numFmtId="0" fontId="11" fillId="0" borderId="0" xfId="5" applyFont="1" applyFill="1" applyAlignment="1">
      <alignment horizontal="right" vertical="center"/>
    </xf>
    <xf numFmtId="1" fontId="59" fillId="0" borderId="16" xfId="5" applyNumberFormat="1" applyFont="1" applyFill="1" applyBorder="1" applyAlignment="1">
      <alignment horizontal="center" vertical="center" shrinkToFit="1"/>
    </xf>
    <xf numFmtId="3" fontId="12" fillId="0" borderId="56" xfId="5" applyNumberFormat="1" applyFont="1" applyFill="1" applyBorder="1" applyAlignment="1">
      <alignment horizontal="right" vertical="center" shrinkToFit="1"/>
    </xf>
    <xf numFmtId="3" fontId="12" fillId="0" borderId="57" xfId="5" applyNumberFormat="1" applyFont="1" applyFill="1" applyBorder="1" applyAlignment="1">
      <alignment horizontal="right" vertical="center" shrinkToFit="1"/>
    </xf>
    <xf numFmtId="3" fontId="12" fillId="0" borderId="60" xfId="5" applyNumberFormat="1" applyFont="1" applyFill="1" applyBorder="1" applyAlignment="1">
      <alignment horizontal="right" vertical="center" shrinkToFit="1"/>
    </xf>
    <xf numFmtId="3" fontId="12" fillId="0" borderId="44" xfId="5" applyNumberFormat="1" applyFont="1" applyFill="1" applyBorder="1" applyAlignment="1">
      <alignment horizontal="right" vertical="center" shrinkToFit="1"/>
    </xf>
    <xf numFmtId="3" fontId="12" fillId="0" borderId="0" xfId="5" applyNumberFormat="1" applyFont="1" applyFill="1"/>
    <xf numFmtId="3" fontId="10" fillId="0" borderId="4" xfId="5" applyNumberFormat="1" applyFont="1" applyFill="1" applyBorder="1" applyAlignment="1">
      <alignment horizontal="right" vertical="center"/>
    </xf>
    <xf numFmtId="0" fontId="23" fillId="0" borderId="34" xfId="5" applyFont="1" applyFill="1" applyBorder="1" applyAlignment="1">
      <alignment horizontal="center" vertical="center"/>
    </xf>
    <xf numFmtId="3" fontId="10" fillId="0" borderId="61" xfId="5" applyNumberFormat="1" applyFont="1" applyFill="1" applyBorder="1" applyAlignment="1">
      <alignment horizontal="right" vertical="center"/>
    </xf>
    <xf numFmtId="0" fontId="10" fillId="0" borderId="71" xfId="5" applyFont="1" applyFill="1" applyBorder="1" applyAlignment="1">
      <alignment horizontal="center" vertical="center"/>
    </xf>
    <xf numFmtId="173" fontId="7" fillId="0" borderId="0" xfId="5" applyNumberFormat="1" applyFont="1" applyFill="1"/>
    <xf numFmtId="168" fontId="7" fillId="0" borderId="0" xfId="5" applyNumberFormat="1" applyFont="1" applyFill="1"/>
    <xf numFmtId="0" fontId="10" fillId="0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23" fillId="0" borderId="44" xfId="5" applyFont="1" applyFill="1" applyBorder="1" applyAlignment="1">
      <alignment horizontal="center" vertical="center"/>
    </xf>
    <xf numFmtId="0" fontId="23" fillId="0" borderId="57" xfId="5" applyFont="1" applyFill="1" applyBorder="1" applyAlignment="1">
      <alignment horizontal="center" vertical="center"/>
    </xf>
    <xf numFmtId="0" fontId="23" fillId="0" borderId="5" xfId="5" applyFont="1" applyFill="1" applyBorder="1" applyAlignment="1">
      <alignment horizontal="center" vertical="center"/>
    </xf>
    <xf numFmtId="0" fontId="23" fillId="0" borderId="5" xfId="5" applyFont="1" applyFill="1" applyBorder="1" applyAlignment="1">
      <alignment horizontal="center" vertical="center" wrapText="1"/>
    </xf>
    <xf numFmtId="0" fontId="23" fillId="0" borderId="60" xfId="5" applyFont="1" applyFill="1" applyBorder="1" applyAlignment="1">
      <alignment horizontal="center" vertical="center"/>
    </xf>
    <xf numFmtId="0" fontId="23" fillId="0" borderId="56" xfId="5" applyFont="1" applyFill="1" applyBorder="1" applyAlignment="1">
      <alignment horizontal="center" vertical="center"/>
    </xf>
    <xf numFmtId="3" fontId="12" fillId="0" borderId="16" xfId="5" applyNumberFormat="1" applyFont="1" applyFill="1" applyBorder="1" applyAlignment="1">
      <alignment horizontal="right" vertical="center" indent="1"/>
    </xf>
    <xf numFmtId="3" fontId="59" fillId="0" borderId="16" xfId="5" applyNumberFormat="1" applyFont="1" applyFill="1" applyBorder="1" applyAlignment="1">
      <alignment horizontal="right" vertical="center" indent="1" shrinkToFit="1"/>
    </xf>
    <xf numFmtId="3" fontId="59" fillId="0" borderId="77" xfId="5" applyNumberFormat="1" applyFont="1" applyFill="1" applyBorder="1" applyAlignment="1">
      <alignment horizontal="right" vertical="center" indent="1" shrinkToFit="1"/>
    </xf>
    <xf numFmtId="3" fontId="12" fillId="0" borderId="56" xfId="5" applyNumberFormat="1" applyFont="1" applyFill="1" applyBorder="1" applyAlignment="1">
      <alignment horizontal="right" vertical="center" indent="1"/>
    </xf>
    <xf numFmtId="0" fontId="23" fillId="0" borderId="19" xfId="5" applyFont="1" applyFill="1" applyBorder="1" applyAlignment="1">
      <alignment horizontal="center" vertical="center"/>
    </xf>
    <xf numFmtId="0" fontId="23" fillId="0" borderId="70" xfId="5" applyFont="1" applyFill="1" applyBorder="1" applyAlignment="1">
      <alignment horizontal="center" vertical="center"/>
    </xf>
    <xf numFmtId="3" fontId="12" fillId="0" borderId="57" xfId="5" applyNumberFormat="1" applyFont="1" applyFill="1" applyBorder="1" applyAlignment="1">
      <alignment horizontal="right" vertical="center" indent="1"/>
    </xf>
    <xf numFmtId="3" fontId="12" fillId="0" borderId="44" xfId="5" applyNumberFormat="1" applyFont="1" applyFill="1" applyBorder="1" applyAlignment="1">
      <alignment horizontal="right" vertical="center" indent="1"/>
    </xf>
    <xf numFmtId="0" fontId="23" fillId="0" borderId="44" xfId="5" applyFont="1" applyFill="1" applyBorder="1" applyAlignment="1">
      <alignment horizontal="center" vertical="center" wrapText="1"/>
    </xf>
    <xf numFmtId="0" fontId="23" fillId="0" borderId="58" xfId="5" applyFont="1" applyFill="1" applyBorder="1" applyAlignment="1">
      <alignment horizontal="center" vertical="center" wrapText="1"/>
    </xf>
    <xf numFmtId="0" fontId="23" fillId="0" borderId="58" xfId="5" applyFont="1" applyFill="1" applyBorder="1" applyAlignment="1">
      <alignment horizontal="center" vertical="center"/>
    </xf>
    <xf numFmtId="3" fontId="47" fillId="0" borderId="77" xfId="5" applyNumberFormat="1" applyFont="1" applyFill="1" applyBorder="1" applyAlignment="1">
      <alignment horizontal="center" vertical="center"/>
    </xf>
    <xf numFmtId="3" fontId="47" fillId="0" borderId="14" xfId="5" applyNumberFormat="1" applyFont="1" applyFill="1" applyBorder="1" applyAlignment="1">
      <alignment horizontal="center" vertical="center"/>
    </xf>
    <xf numFmtId="3" fontId="47" fillId="0" borderId="49" xfId="5" applyNumberFormat="1" applyFont="1" applyFill="1" applyBorder="1" applyAlignment="1">
      <alignment horizontal="center" vertical="center"/>
    </xf>
    <xf numFmtId="3" fontId="47" fillId="0" borderId="49" xfId="5" applyNumberFormat="1" applyFont="1" applyFill="1" applyBorder="1" applyAlignment="1">
      <alignment horizontal="right" vertical="center" indent="3"/>
    </xf>
    <xf numFmtId="3" fontId="47" fillId="0" borderId="21" xfId="5" applyNumberFormat="1" applyFont="1" applyFill="1" applyBorder="1" applyAlignment="1">
      <alignment horizontal="center" vertical="center"/>
    </xf>
    <xf numFmtId="3" fontId="47" fillId="0" borderId="19" xfId="5" applyNumberFormat="1" applyFont="1" applyFill="1" applyBorder="1" applyAlignment="1">
      <alignment horizontal="center" vertical="center"/>
    </xf>
    <xf numFmtId="3" fontId="47" fillId="0" borderId="56" xfId="5" applyNumberFormat="1" applyFont="1" applyFill="1" applyBorder="1" applyAlignment="1">
      <alignment horizontal="center" vertical="center"/>
    </xf>
    <xf numFmtId="1" fontId="47" fillId="0" borderId="21" xfId="5" applyNumberFormat="1" applyFont="1" applyFill="1" applyBorder="1" applyAlignment="1">
      <alignment horizontal="center" vertical="center"/>
    </xf>
    <xf numFmtId="178" fontId="47" fillId="0" borderId="19" xfId="21" applyNumberFormat="1" applyFont="1" applyFill="1" applyBorder="1" applyAlignment="1">
      <alignment horizontal="center" vertical="center"/>
    </xf>
    <xf numFmtId="178" fontId="47" fillId="0" borderId="30" xfId="21" applyNumberFormat="1" applyFont="1" applyFill="1" applyBorder="1" applyAlignment="1">
      <alignment horizontal="center" vertical="center"/>
    </xf>
    <xf numFmtId="0" fontId="23" fillId="0" borderId="68" xfId="5" applyFont="1" applyFill="1" applyBorder="1" applyAlignment="1">
      <alignment horizontal="center" vertical="center"/>
    </xf>
    <xf numFmtId="3" fontId="47" fillId="0" borderId="68" xfId="5" applyNumberFormat="1" applyFont="1" applyFill="1" applyBorder="1" applyAlignment="1">
      <alignment horizontal="right" vertical="center" indent="3"/>
    </xf>
    <xf numFmtId="3" fontId="47" fillId="0" borderId="44" xfId="5" applyNumberFormat="1" applyFont="1" applyFill="1" applyBorder="1" applyAlignment="1">
      <alignment horizontal="right" vertical="center" indent="3"/>
    </xf>
    <xf numFmtId="3" fontId="47" fillId="0" borderId="7" xfId="5" applyNumberFormat="1" applyFont="1" applyFill="1" applyBorder="1" applyAlignment="1">
      <alignment horizontal="right" vertical="center" indent="3"/>
    </xf>
    <xf numFmtId="3" fontId="47" fillId="0" borderId="58" xfId="5" applyNumberFormat="1" applyFont="1" applyFill="1" applyBorder="1" applyAlignment="1">
      <alignment horizontal="right" vertical="center" indent="3"/>
    </xf>
    <xf numFmtId="0" fontId="7" fillId="0" borderId="0" xfId="5" applyFont="1" applyFill="1" applyBorder="1" applyAlignment="1">
      <alignment horizontal="right" vertical="center"/>
    </xf>
    <xf numFmtId="3" fontId="9" fillId="0" borderId="0" xfId="5" applyNumberFormat="1" applyFont="1" applyFill="1" applyBorder="1" applyAlignment="1">
      <alignment horizontal="right" vertical="center"/>
    </xf>
    <xf numFmtId="0" fontId="23" fillId="0" borderId="20" xfId="5" applyFont="1" applyFill="1" applyBorder="1" applyAlignment="1">
      <alignment horizontal="center" vertical="center"/>
    </xf>
    <xf numFmtId="3" fontId="47" fillId="0" borderId="25" xfId="5" applyNumberFormat="1" applyFont="1" applyFill="1" applyBorder="1" applyAlignment="1">
      <alignment horizontal="right" vertical="center" indent="3"/>
    </xf>
    <xf numFmtId="3" fontId="47" fillId="0" borderId="59" xfId="5" applyNumberFormat="1" applyFont="1" applyFill="1" applyBorder="1" applyAlignment="1">
      <alignment horizontal="right" vertical="center" indent="3"/>
    </xf>
    <xf numFmtId="3" fontId="47" fillId="0" borderId="35" xfId="5" applyNumberFormat="1" applyFont="1" applyFill="1" applyBorder="1" applyAlignment="1">
      <alignment horizontal="right" vertical="center" indent="3"/>
    </xf>
    <xf numFmtId="3" fontId="47" fillId="0" borderId="88" xfId="5" applyNumberFormat="1" applyFont="1" applyFill="1" applyBorder="1" applyAlignment="1">
      <alignment horizontal="right" vertical="center" indent="3"/>
    </xf>
    <xf numFmtId="3" fontId="59" fillId="0" borderId="0" xfId="22" applyNumberFormat="1" applyFont="1" applyFill="1" applyBorder="1" applyAlignment="1">
      <alignment horizontal="center" vertical="center" readingOrder="2"/>
    </xf>
    <xf numFmtId="0" fontId="5" fillId="0" borderId="0" xfId="22" applyAlignment="1">
      <alignment readingOrder="2"/>
    </xf>
    <xf numFmtId="3" fontId="49" fillId="0" borderId="0" xfId="22" applyNumberFormat="1" applyFont="1" applyBorder="1" applyAlignment="1">
      <alignment horizontal="right" vertical="center" readingOrder="2"/>
    </xf>
    <xf numFmtId="3" fontId="81" fillId="10" borderId="16" xfId="22" applyNumberFormat="1" applyFont="1" applyFill="1" applyBorder="1" applyAlignment="1">
      <alignment horizontal="center" vertical="center" readingOrder="2"/>
    </xf>
    <xf numFmtId="3" fontId="59" fillId="0" borderId="16" xfId="22" applyNumberFormat="1" applyFont="1" applyBorder="1" applyAlignment="1">
      <alignment horizontal="center" vertical="center" readingOrder="2"/>
    </xf>
    <xf numFmtId="3" fontId="59" fillId="0" borderId="55" xfId="22" applyNumberFormat="1" applyFont="1" applyBorder="1" applyAlignment="1">
      <alignment horizontal="center" vertical="center"/>
    </xf>
    <xf numFmtId="0" fontId="12" fillId="0" borderId="0" xfId="5" applyFont="1" applyFill="1" applyAlignment="1">
      <alignment vertical="center"/>
    </xf>
    <xf numFmtId="3" fontId="59" fillId="0" borderId="0" xfId="22" applyNumberFormat="1" applyFont="1" applyBorder="1" applyAlignment="1">
      <alignment horizontal="center" vertical="center" readingOrder="2"/>
    </xf>
    <xf numFmtId="0" fontId="82" fillId="0" borderId="0" xfId="22" applyFont="1"/>
    <xf numFmtId="0" fontId="5" fillId="0" borderId="0" xfId="22" applyFont="1"/>
    <xf numFmtId="3" fontId="81" fillId="10" borderId="16" xfId="23" applyNumberFormat="1" applyFont="1" applyFill="1" applyBorder="1" applyAlignment="1">
      <alignment horizontal="center" vertical="center" readingOrder="2"/>
    </xf>
    <xf numFmtId="3" fontId="82" fillId="0" borderId="0" xfId="22" applyNumberFormat="1" applyFont="1"/>
    <xf numFmtId="9" fontId="59" fillId="0" borderId="16" xfId="24" applyFont="1" applyBorder="1" applyAlignment="1">
      <alignment horizontal="center" vertical="center" readingOrder="2"/>
    </xf>
    <xf numFmtId="177" fontId="82" fillId="0" borderId="0" xfId="20" applyFont="1"/>
    <xf numFmtId="3" fontId="81" fillId="0" borderId="16" xfId="22" applyNumberFormat="1" applyFont="1" applyBorder="1" applyAlignment="1">
      <alignment horizontal="center" vertical="center" readingOrder="2"/>
    </xf>
    <xf numFmtId="9" fontId="81" fillId="0" borderId="16" xfId="24" applyFont="1" applyBorder="1" applyAlignment="1">
      <alignment horizontal="center" vertical="center" readingOrder="2"/>
    </xf>
    <xf numFmtId="4" fontId="82" fillId="0" borderId="0" xfId="22" applyNumberFormat="1" applyFont="1"/>
    <xf numFmtId="3" fontId="49" fillId="0" borderId="77" xfId="22" applyNumberFormat="1" applyFont="1" applyBorder="1" applyAlignment="1">
      <alignment horizontal="center" vertical="center" readingOrder="2"/>
    </xf>
    <xf numFmtId="0" fontId="81" fillId="10" borderId="16" xfId="22" applyFont="1" applyFill="1" applyBorder="1" applyAlignment="1">
      <alignment horizontal="center" vertical="center" readingOrder="2"/>
    </xf>
    <xf numFmtId="0" fontId="5" fillId="0" borderId="0" xfId="22"/>
    <xf numFmtId="0" fontId="84" fillId="13" borderId="8" xfId="22" applyFont="1" applyFill="1" applyBorder="1" applyAlignment="1">
      <alignment horizontal="center" vertical="center"/>
    </xf>
    <xf numFmtId="0" fontId="84" fillId="13" borderId="15" xfId="22" applyFont="1" applyFill="1" applyBorder="1" applyAlignment="1">
      <alignment horizontal="center" vertical="center"/>
    </xf>
    <xf numFmtId="0" fontId="84" fillId="13" borderId="16" xfId="22" applyFont="1" applyFill="1" applyBorder="1" applyAlignment="1">
      <alignment horizontal="center" vertical="center" wrapText="1"/>
    </xf>
    <xf numFmtId="0" fontId="84" fillId="13" borderId="18" xfId="22" applyFont="1" applyFill="1" applyBorder="1" applyAlignment="1">
      <alignment horizontal="center" vertical="center" wrapText="1"/>
    </xf>
    <xf numFmtId="170" fontId="81" fillId="0" borderId="16" xfId="22" applyNumberFormat="1" applyFont="1" applyBorder="1" applyAlignment="1">
      <alignment horizontal="center" vertical="center"/>
    </xf>
    <xf numFmtId="1" fontId="81" fillId="0" borderId="16" xfId="22" applyNumberFormat="1" applyFont="1" applyBorder="1" applyAlignment="1">
      <alignment horizontal="center" vertical="center"/>
    </xf>
    <xf numFmtId="1" fontId="81" fillId="0" borderId="18" xfId="22" applyNumberFormat="1" applyFont="1" applyBorder="1" applyAlignment="1">
      <alignment horizontal="center" vertical="center"/>
    </xf>
    <xf numFmtId="177" fontId="5" fillId="0" borderId="0" xfId="20" applyFont="1"/>
    <xf numFmtId="0" fontId="84" fillId="14" borderId="53" xfId="22" applyFont="1" applyFill="1" applyBorder="1" applyAlignment="1">
      <alignment horizontal="center" vertical="center"/>
    </xf>
    <xf numFmtId="170" fontId="83" fillId="10" borderId="29" xfId="22" applyNumberFormat="1" applyFont="1" applyFill="1" applyBorder="1" applyAlignment="1">
      <alignment horizontal="center" vertical="center"/>
    </xf>
    <xf numFmtId="1" fontId="83" fillId="10" borderId="29" xfId="22" applyNumberFormat="1" applyFont="1" applyFill="1" applyBorder="1" applyAlignment="1">
      <alignment horizontal="center" vertical="center"/>
    </xf>
    <xf numFmtId="1" fontId="83" fillId="10" borderId="28" xfId="22" applyNumberFormat="1" applyFont="1" applyFill="1" applyBorder="1" applyAlignment="1">
      <alignment horizontal="center" vertical="center"/>
    </xf>
    <xf numFmtId="0" fontId="69" fillId="2" borderId="0" xfId="22" applyFont="1" applyFill="1"/>
    <xf numFmtId="0" fontId="85" fillId="2" borderId="0" xfId="22" applyFont="1" applyFill="1"/>
    <xf numFmtId="0" fontId="5" fillId="2" borderId="0" xfId="22" applyFill="1"/>
    <xf numFmtId="0" fontId="86" fillId="0" borderId="0" xfId="5" applyFont="1" applyAlignment="1">
      <alignment horizontal="left"/>
    </xf>
    <xf numFmtId="0" fontId="86" fillId="0" borderId="0" xfId="5" applyFont="1" applyAlignment="1">
      <alignment horizontal="center"/>
    </xf>
    <xf numFmtId="0" fontId="86" fillId="0" borderId="0" xfId="5" applyFont="1"/>
    <xf numFmtId="0" fontId="6" fillId="0" borderId="0" xfId="5"/>
    <xf numFmtId="0" fontId="87" fillId="0" borderId="0" xfId="5" applyFont="1" applyAlignment="1">
      <alignment horizontal="center" vertical="center"/>
    </xf>
    <xf numFmtId="0" fontId="88" fillId="0" borderId="0" xfId="25" applyFont="1" applyAlignment="1">
      <alignment horizontal="left"/>
    </xf>
    <xf numFmtId="0" fontId="88" fillId="0" borderId="0" xfId="25" applyFont="1" applyAlignment="1">
      <alignment horizontal="center"/>
    </xf>
    <xf numFmtId="0" fontId="88" fillId="0" borderId="0" xfId="1" applyFont="1"/>
    <xf numFmtId="0" fontId="87" fillId="0" borderId="0" xfId="25" applyFont="1" applyAlignment="1">
      <alignment horizontal="center"/>
    </xf>
    <xf numFmtId="0" fontId="86" fillId="0" borderId="0" xfId="25" applyFont="1"/>
    <xf numFmtId="0" fontId="88" fillId="0" borderId="0" xfId="25" applyFont="1" applyAlignment="1">
      <alignment vertical="center" wrapText="1"/>
    </xf>
    <xf numFmtId="0" fontId="88" fillId="0" borderId="0" xfId="25" applyFont="1" applyAlignment="1">
      <alignment horizontal="left" vertical="top"/>
    </xf>
    <xf numFmtId="0" fontId="88" fillId="0" borderId="0" xfId="25" applyFont="1" applyAlignment="1">
      <alignment wrapText="1"/>
    </xf>
    <xf numFmtId="0" fontId="88" fillId="0" borderId="0" xfId="5" applyFont="1" applyAlignment="1">
      <alignment horizontal="left"/>
    </xf>
    <xf numFmtId="0" fontId="88" fillId="0" borderId="0" xfId="5" applyFont="1" applyAlignment="1">
      <alignment horizontal="center"/>
    </xf>
    <xf numFmtId="0" fontId="88" fillId="0" borderId="0" xfId="5" applyFont="1"/>
    <xf numFmtId="0" fontId="88" fillId="0" borderId="0" xfId="25" applyFont="1"/>
    <xf numFmtId="0" fontId="49" fillId="2" borderId="41" xfId="5" applyFont="1" applyFill="1" applyBorder="1" applyAlignment="1">
      <alignment horizontal="center" vertical="center" wrapText="1" readingOrder="2"/>
    </xf>
    <xf numFmtId="0" fontId="49" fillId="2" borderId="6" xfId="5" applyFont="1" applyFill="1" applyBorder="1" applyAlignment="1">
      <alignment horizontal="center" vertical="center" wrapText="1" readingOrder="2"/>
    </xf>
    <xf numFmtId="0" fontId="57" fillId="2" borderId="48" xfId="5" applyFont="1" applyFill="1" applyBorder="1" applyAlignment="1">
      <alignment horizontal="center" vertical="center" wrapText="1" readingOrder="2"/>
    </xf>
    <xf numFmtId="0" fontId="49" fillId="2" borderId="13" xfId="21" applyFont="1" applyFill="1" applyBorder="1" applyAlignment="1">
      <alignment horizontal="center" vertical="center" wrapText="1" readingOrder="2"/>
    </xf>
    <xf numFmtId="0" fontId="57" fillId="2" borderId="15" xfId="5" applyFont="1" applyFill="1" applyBorder="1" applyAlignment="1">
      <alignment horizontal="center" vertical="center" wrapText="1" readingOrder="2"/>
    </xf>
    <xf numFmtId="0" fontId="49" fillId="2" borderId="17" xfId="5" applyFont="1" applyFill="1" applyBorder="1" applyAlignment="1">
      <alignment horizontal="center" vertical="center" wrapText="1" readingOrder="2"/>
    </xf>
    <xf numFmtId="0" fontId="23" fillId="2" borderId="17" xfId="5" applyFont="1" applyFill="1" applyBorder="1" applyAlignment="1">
      <alignment horizontal="center" vertical="center"/>
    </xf>
    <xf numFmtId="0" fontId="17" fillId="0" borderId="7" xfId="26" applyFont="1" applyFill="1" applyBorder="1" applyAlignment="1">
      <alignment horizontal="center" vertical="center" wrapText="1"/>
    </xf>
    <xf numFmtId="0" fontId="17" fillId="0" borderId="5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/>
    </xf>
    <xf numFmtId="0" fontId="12" fillId="0" borderId="14" xfId="5" applyFont="1" applyFill="1" applyBorder="1" applyAlignment="1">
      <alignment horizontal="center" vertical="center"/>
    </xf>
    <xf numFmtId="1" fontId="12" fillId="0" borderId="62" xfId="5" applyNumberFormat="1" applyFont="1" applyFill="1" applyBorder="1" applyAlignment="1">
      <alignment horizontal="center" vertical="center"/>
    </xf>
    <xf numFmtId="1" fontId="12" fillId="0" borderId="4" xfId="5" applyNumberFormat="1" applyFont="1" applyFill="1" applyBorder="1" applyAlignment="1">
      <alignment horizontal="center" vertical="center"/>
    </xf>
    <xf numFmtId="1" fontId="6" fillId="0" borderId="0" xfId="5" applyNumberFormat="1"/>
    <xf numFmtId="0" fontId="12" fillId="0" borderId="19" xfId="5" applyFont="1" applyFill="1" applyBorder="1" applyAlignment="1">
      <alignment horizontal="center" vertical="center"/>
    </xf>
    <xf numFmtId="0" fontId="12" fillId="0" borderId="30" xfId="5" applyFont="1" applyFill="1" applyBorder="1" applyAlignment="1">
      <alignment horizontal="center" vertical="center"/>
    </xf>
    <xf numFmtId="9" fontId="12" fillId="0" borderId="53" xfId="27" applyNumberFormat="1" applyFont="1" applyFill="1" applyBorder="1" applyAlignment="1">
      <alignment horizontal="center" vertical="center"/>
    </xf>
    <xf numFmtId="9" fontId="12" fillId="0" borderId="28" xfId="27" applyNumberFormat="1" applyFont="1" applyFill="1" applyBorder="1" applyAlignment="1">
      <alignment horizontal="center" vertical="center"/>
    </xf>
    <xf numFmtId="179" fontId="89" fillId="0" borderId="0" xfId="28" applyNumberFormat="1"/>
    <xf numFmtId="179" fontId="89" fillId="0" borderId="0" xfId="28"/>
    <xf numFmtId="3" fontId="81" fillId="15" borderId="44" xfId="22" applyNumberFormat="1" applyFont="1" applyFill="1" applyBorder="1" applyAlignment="1">
      <alignment horizontal="center" vertical="center" readingOrder="2"/>
    </xf>
    <xf numFmtId="3" fontId="81" fillId="15" borderId="58" xfId="22" applyNumberFormat="1" applyFont="1" applyFill="1" applyBorder="1" applyAlignment="1">
      <alignment horizontal="center" vertical="center" readingOrder="2"/>
    </xf>
    <xf numFmtId="0" fontId="23" fillId="15" borderId="57" xfId="5" applyFont="1" applyFill="1" applyBorder="1" applyAlignment="1">
      <alignment horizontal="center" vertical="center" wrapText="1"/>
    </xf>
    <xf numFmtId="0" fontId="23" fillId="15" borderId="5" xfId="5" applyFont="1" applyFill="1" applyBorder="1" applyAlignment="1">
      <alignment horizontal="center" vertical="center"/>
    </xf>
    <xf numFmtId="0" fontId="23" fillId="15" borderId="5" xfId="5" applyFont="1" applyFill="1" applyBorder="1" applyAlignment="1">
      <alignment horizontal="center" vertical="center" wrapText="1"/>
    </xf>
    <xf numFmtId="0" fontId="23" fillId="15" borderId="7" xfId="5" applyFont="1" applyFill="1" applyBorder="1" applyAlignment="1">
      <alignment horizontal="center" vertical="center"/>
    </xf>
    <xf numFmtId="3" fontId="59" fillId="0" borderId="56" xfId="22" applyNumberFormat="1" applyFont="1" applyBorder="1" applyAlignment="1">
      <alignment horizontal="center" vertical="center" readingOrder="2"/>
    </xf>
    <xf numFmtId="0" fontId="49" fillId="0" borderId="56" xfId="21" applyFont="1" applyFill="1" applyBorder="1" applyAlignment="1">
      <alignment horizontal="center" wrapText="1" readingOrder="2"/>
    </xf>
    <xf numFmtId="3" fontId="12" fillId="0" borderId="55" xfId="5" applyNumberFormat="1" applyFont="1" applyFill="1" applyBorder="1" applyAlignment="1">
      <alignment horizontal="right" vertical="center" indent="3" shrinkToFit="1"/>
    </xf>
    <xf numFmtId="3" fontId="12" fillId="0" borderId="12" xfId="5" applyNumberFormat="1" applyFont="1" applyFill="1" applyBorder="1" applyAlignment="1">
      <alignment horizontal="right" vertical="center" indent="3"/>
    </xf>
    <xf numFmtId="3" fontId="12" fillId="0" borderId="50" xfId="5" applyNumberFormat="1" applyFont="1" applyFill="1" applyBorder="1" applyAlignment="1">
      <alignment horizontal="right" vertical="center" indent="3"/>
    </xf>
    <xf numFmtId="3" fontId="59" fillId="0" borderId="19" xfId="22" applyNumberFormat="1" applyFont="1" applyBorder="1" applyAlignment="1">
      <alignment horizontal="center" vertical="center" readingOrder="2"/>
    </xf>
    <xf numFmtId="0" fontId="49" fillId="0" borderId="19" xfId="5" applyFont="1" applyFill="1" applyBorder="1" applyAlignment="1">
      <alignment horizontal="center" wrapText="1" readingOrder="2"/>
    </xf>
    <xf numFmtId="3" fontId="12" fillId="0" borderId="22" xfId="5" applyNumberFormat="1" applyFont="1" applyFill="1" applyBorder="1" applyAlignment="1">
      <alignment horizontal="center" vertical="center" shrinkToFit="1"/>
    </xf>
    <xf numFmtId="3" fontId="12" fillId="0" borderId="16" xfId="5" applyNumberFormat="1" applyFont="1" applyFill="1" applyBorder="1" applyAlignment="1">
      <alignment horizontal="right" vertical="center" indent="3"/>
    </xf>
    <xf numFmtId="3" fontId="12" fillId="0" borderId="18" xfId="5" applyNumberFormat="1" applyFont="1" applyFill="1" applyBorder="1" applyAlignment="1">
      <alignment horizontal="right" vertical="center" indent="3"/>
    </xf>
    <xf numFmtId="3" fontId="12" fillId="0" borderId="22" xfId="5" applyNumberFormat="1" applyFont="1" applyFill="1" applyBorder="1" applyAlignment="1">
      <alignment horizontal="right" vertical="center" indent="3" shrinkToFit="1"/>
    </xf>
    <xf numFmtId="0" fontId="81" fillId="0" borderId="19" xfId="5" applyFont="1" applyFill="1" applyBorder="1" applyAlignment="1">
      <alignment horizontal="center" wrapText="1" readingOrder="2"/>
    </xf>
    <xf numFmtId="3" fontId="12" fillId="13" borderId="57" xfId="5" applyNumberFormat="1" applyFont="1" applyFill="1" applyBorder="1" applyAlignment="1">
      <alignment horizontal="right" vertical="center" indent="3"/>
    </xf>
    <xf numFmtId="3" fontId="12" fillId="13" borderId="5" xfId="5" applyNumberFormat="1" applyFont="1" applyFill="1" applyBorder="1" applyAlignment="1">
      <alignment horizontal="right" vertical="center" indent="3"/>
    </xf>
    <xf numFmtId="3" fontId="12" fillId="13" borderId="7" xfId="5" applyNumberFormat="1" applyFont="1" applyFill="1" applyBorder="1" applyAlignment="1">
      <alignment horizontal="right" vertical="center" indent="3"/>
    </xf>
    <xf numFmtId="3" fontId="81" fillId="15" borderId="71" xfId="22" applyNumberFormat="1" applyFont="1" applyFill="1" applyBorder="1" applyAlignment="1">
      <alignment horizontal="center" vertical="center" readingOrder="2"/>
    </xf>
    <xf numFmtId="0" fontId="23" fillId="15" borderId="62" xfId="5" applyFont="1" applyFill="1" applyBorder="1" applyAlignment="1">
      <alignment horizontal="center" vertical="center" wrapText="1"/>
    </xf>
    <xf numFmtId="0" fontId="23" fillId="15" borderId="39" xfId="5" applyFont="1" applyFill="1" applyBorder="1" applyAlignment="1">
      <alignment horizontal="center" vertical="center"/>
    </xf>
    <xf numFmtId="0" fontId="23" fillId="15" borderId="4" xfId="5" applyFont="1" applyFill="1" applyBorder="1" applyAlignment="1">
      <alignment horizontal="center" vertical="center"/>
    </xf>
    <xf numFmtId="3" fontId="59" fillId="0" borderId="14" xfId="22" applyNumberFormat="1" applyFont="1" applyBorder="1" applyAlignment="1">
      <alignment horizontal="center" vertical="center" readingOrder="2"/>
    </xf>
    <xf numFmtId="0" fontId="49" fillId="0" borderId="14" xfId="21" applyFont="1" applyFill="1" applyBorder="1" applyAlignment="1">
      <alignment horizontal="center" wrapText="1" readingOrder="2"/>
    </xf>
    <xf numFmtId="3" fontId="12" fillId="0" borderId="63" xfId="5" applyNumberFormat="1" applyFont="1" applyFill="1" applyBorder="1" applyAlignment="1">
      <alignment horizontal="right" vertical="center" indent="3"/>
    </xf>
    <xf numFmtId="3" fontId="12" fillId="0" borderId="9" xfId="5" applyNumberFormat="1" applyFont="1" applyFill="1" applyBorder="1" applyAlignment="1">
      <alignment horizontal="right" vertical="center" indent="3"/>
    </xf>
    <xf numFmtId="3" fontId="12" fillId="0" borderId="11" xfId="5" applyNumberFormat="1" applyFont="1" applyFill="1" applyBorder="1" applyAlignment="1">
      <alignment horizontal="right" vertical="center" indent="3"/>
    </xf>
    <xf numFmtId="0" fontId="4" fillId="0" borderId="0" xfId="23" applyNumberFormat="1"/>
    <xf numFmtId="180" fontId="89" fillId="0" borderId="0" xfId="28" applyNumberFormat="1"/>
    <xf numFmtId="181" fontId="0" fillId="0" borderId="0" xfId="29" applyNumberFormat="1" applyFont="1"/>
    <xf numFmtId="3" fontId="81" fillId="10" borderId="41" xfId="22" applyNumberFormat="1" applyFont="1" applyFill="1" applyBorder="1" applyAlignment="1">
      <alignment horizontal="center" vertical="center" readingOrder="2"/>
    </xf>
    <xf numFmtId="3" fontId="81" fillId="10" borderId="7" xfId="22" applyNumberFormat="1" applyFont="1" applyFill="1" applyBorder="1" applyAlignment="1">
      <alignment horizontal="center" vertical="center" readingOrder="2"/>
    </xf>
    <xf numFmtId="3" fontId="81" fillId="10" borderId="57" xfId="22" applyNumberFormat="1" applyFont="1" applyFill="1" applyBorder="1" applyAlignment="1">
      <alignment horizontal="center" vertical="center"/>
    </xf>
    <xf numFmtId="3" fontId="81" fillId="10" borderId="5" xfId="22" applyNumberFormat="1" applyFont="1" applyFill="1" applyBorder="1" applyAlignment="1">
      <alignment horizontal="center" vertical="center"/>
    </xf>
    <xf numFmtId="3" fontId="81" fillId="10" borderId="7" xfId="22" applyNumberFormat="1" applyFont="1" applyFill="1" applyBorder="1" applyAlignment="1">
      <alignment horizontal="center" vertical="center"/>
    </xf>
    <xf numFmtId="3" fontId="49" fillId="0" borderId="48" xfId="22" applyNumberFormat="1" applyFont="1" applyBorder="1" applyAlignment="1">
      <alignment horizontal="center" vertical="center" readingOrder="2"/>
    </xf>
    <xf numFmtId="3" fontId="49" fillId="0" borderId="12" xfId="22" applyNumberFormat="1" applyFont="1" applyBorder="1" applyAlignment="1">
      <alignment horizontal="center" vertical="center" readingOrder="2"/>
    </xf>
    <xf numFmtId="3" fontId="49" fillId="0" borderId="16" xfId="22" applyNumberFormat="1" applyFont="1" applyBorder="1" applyAlignment="1">
      <alignment horizontal="center" vertical="center" readingOrder="2"/>
    </xf>
    <xf numFmtId="3" fontId="49" fillId="12" borderId="50" xfId="22" applyNumberFormat="1" applyFont="1" applyFill="1" applyBorder="1" applyAlignment="1">
      <alignment horizontal="center" vertical="center" readingOrder="2"/>
    </xf>
    <xf numFmtId="3" fontId="49" fillId="0" borderId="15" xfId="22" applyNumberFormat="1" applyFont="1" applyBorder="1" applyAlignment="1">
      <alignment horizontal="center" vertical="center" readingOrder="2"/>
    </xf>
    <xf numFmtId="3" fontId="49" fillId="12" borderId="18" xfId="22" applyNumberFormat="1" applyFont="1" applyFill="1" applyBorder="1" applyAlignment="1">
      <alignment horizontal="center" vertical="center" readingOrder="2"/>
    </xf>
    <xf numFmtId="3" fontId="49" fillId="10" borderId="29" xfId="22" applyNumberFormat="1" applyFont="1" applyFill="1" applyBorder="1" applyAlignment="1">
      <alignment horizontal="center" vertical="center" readingOrder="2"/>
    </xf>
    <xf numFmtId="3" fontId="49" fillId="10" borderId="28" xfId="22" applyNumberFormat="1" applyFont="1" applyFill="1" applyBorder="1" applyAlignment="1">
      <alignment horizontal="center" vertical="center" readingOrder="2"/>
    </xf>
    <xf numFmtId="3" fontId="5" fillId="0" borderId="0" xfId="22" applyNumberFormat="1"/>
    <xf numFmtId="0" fontId="57" fillId="0" borderId="0" xfId="5" applyFont="1" applyFill="1" applyBorder="1" applyAlignment="1">
      <alignment horizontal="right" wrapText="1" readingOrder="2"/>
    </xf>
    <xf numFmtId="3" fontId="81" fillId="10" borderId="5" xfId="22" applyNumberFormat="1" applyFont="1" applyFill="1" applyBorder="1" applyAlignment="1">
      <alignment horizontal="center" vertical="center" readingOrder="2"/>
    </xf>
    <xf numFmtId="0" fontId="80" fillId="0" borderId="0" xfId="22" applyFont="1"/>
    <xf numFmtId="0" fontId="81" fillId="10" borderId="68" xfId="22" applyFont="1" applyFill="1" applyBorder="1" applyAlignment="1">
      <alignment horizontal="center" vertical="center"/>
    </xf>
    <xf numFmtId="0" fontId="81" fillId="10" borderId="44" xfId="22" applyFont="1" applyFill="1" applyBorder="1" applyAlignment="1">
      <alignment horizontal="center" vertical="center"/>
    </xf>
    <xf numFmtId="0" fontId="81" fillId="10" borderId="57" xfId="22" applyFont="1" applyFill="1" applyBorder="1" applyAlignment="1">
      <alignment horizontal="center" vertical="center"/>
    </xf>
    <xf numFmtId="0" fontId="81" fillId="10" borderId="5" xfId="22" applyFont="1" applyFill="1" applyBorder="1" applyAlignment="1">
      <alignment horizontal="center" vertical="center"/>
    </xf>
    <xf numFmtId="0" fontId="81" fillId="10" borderId="6" xfId="22" applyFont="1" applyFill="1" applyBorder="1" applyAlignment="1">
      <alignment horizontal="center" vertical="center"/>
    </xf>
    <xf numFmtId="3" fontId="81" fillId="10" borderId="44" xfId="22" applyNumberFormat="1" applyFont="1" applyFill="1" applyBorder="1" applyAlignment="1">
      <alignment horizontal="center" vertical="center"/>
    </xf>
    <xf numFmtId="3" fontId="80" fillId="0" borderId="48" xfId="22" applyNumberFormat="1" applyFont="1" applyBorder="1" applyAlignment="1">
      <alignment horizontal="center" vertical="center" readingOrder="2"/>
    </xf>
    <xf numFmtId="3" fontId="80" fillId="0" borderId="12" xfId="22" applyNumberFormat="1" applyFont="1" applyBorder="1" applyAlignment="1">
      <alignment horizontal="center" vertical="center" readingOrder="2"/>
    </xf>
    <xf numFmtId="3" fontId="80" fillId="12" borderId="50" xfId="22" applyNumberFormat="1" applyFont="1" applyFill="1" applyBorder="1" applyAlignment="1">
      <alignment horizontal="center" vertical="center" readingOrder="2"/>
    </xf>
    <xf numFmtId="3" fontId="80" fillId="0" borderId="0" xfId="22" applyNumberFormat="1" applyFont="1"/>
    <xf numFmtId="3" fontId="80" fillId="0" borderId="15" xfId="22" applyNumberFormat="1" applyFont="1" applyBorder="1" applyAlignment="1">
      <alignment horizontal="center" vertical="center" readingOrder="2"/>
    </xf>
    <xf numFmtId="3" fontId="80" fillId="0" borderId="16" xfId="22" applyNumberFormat="1" applyFont="1" applyBorder="1" applyAlignment="1">
      <alignment horizontal="center" vertical="center" readingOrder="2"/>
    </xf>
    <xf numFmtId="3" fontId="80" fillId="12" borderId="18" xfId="22" applyNumberFormat="1" applyFont="1" applyFill="1" applyBorder="1" applyAlignment="1">
      <alignment horizontal="center" vertical="center" readingOrder="2"/>
    </xf>
    <xf numFmtId="3" fontId="80" fillId="10" borderId="29" xfId="22" applyNumberFormat="1" applyFont="1" applyFill="1" applyBorder="1" applyAlignment="1">
      <alignment horizontal="center" vertical="center" readingOrder="2"/>
    </xf>
    <xf numFmtId="3" fontId="80" fillId="10" borderId="28" xfId="22" applyNumberFormat="1" applyFont="1" applyFill="1" applyBorder="1" applyAlignment="1">
      <alignment horizontal="center" vertical="center" readingOrder="2"/>
    </xf>
    <xf numFmtId="1" fontId="12" fillId="0" borderId="11" xfId="1" applyNumberFormat="1" applyFont="1" applyFill="1" applyBorder="1" applyAlignment="1">
      <alignment horizontal="center" vertical="center"/>
    </xf>
    <xf numFmtId="1" fontId="12" fillId="0" borderId="31" xfId="1" applyNumberFormat="1" applyFont="1" applyFill="1" applyBorder="1" applyAlignment="1">
      <alignment horizontal="center" vertical="center"/>
    </xf>
    <xf numFmtId="0" fontId="58" fillId="0" borderId="0" xfId="1" applyFont="1" applyFill="1" applyAlignment="1">
      <alignment vertical="center"/>
    </xf>
    <xf numFmtId="0" fontId="23" fillId="0" borderId="0" xfId="5" applyFont="1" applyFill="1" applyAlignment="1">
      <alignment horizontal="center" vertical="center"/>
    </xf>
    <xf numFmtId="9" fontId="7" fillId="0" borderId="0" xfId="27" applyFont="1" applyFill="1"/>
    <xf numFmtId="174" fontId="12" fillId="0" borderId="88" xfId="5" applyNumberFormat="1" applyFont="1" applyFill="1" applyBorder="1" applyAlignment="1">
      <alignment horizontal="center" vertical="center"/>
    </xf>
    <xf numFmtId="3" fontId="12" fillId="0" borderId="88" xfId="5" applyNumberFormat="1" applyFont="1" applyFill="1" applyBorder="1" applyAlignment="1">
      <alignment horizontal="center" vertical="center"/>
    </xf>
    <xf numFmtId="0" fontId="10" fillId="0" borderId="88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11" fillId="0" borderId="25" xfId="5" applyFont="1" applyFill="1" applyBorder="1" applyAlignment="1">
      <alignment horizontal="center" vertical="center" wrapText="1"/>
    </xf>
    <xf numFmtId="174" fontId="7" fillId="0" borderId="0" xfId="27" applyNumberFormat="1" applyFont="1" applyFill="1"/>
    <xf numFmtId="174" fontId="12" fillId="0" borderId="51" xfId="5" applyNumberFormat="1" applyFont="1" applyFill="1" applyBorder="1" applyAlignment="1">
      <alignment horizontal="center" vertical="center"/>
    </xf>
    <xf numFmtId="3" fontId="12" fillId="2" borderId="51" xfId="5" applyNumberFormat="1" applyFont="1" applyFill="1" applyBorder="1" applyAlignment="1">
      <alignment horizontal="center" vertical="center"/>
    </xf>
    <xf numFmtId="3" fontId="12" fillId="0" borderId="51" xfId="5" applyNumberFormat="1" applyFont="1" applyFill="1" applyBorder="1" applyAlignment="1">
      <alignment horizontal="center" vertical="center"/>
    </xf>
    <xf numFmtId="0" fontId="10" fillId="0" borderId="51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right" vertical="center"/>
    </xf>
    <xf numFmtId="0" fontId="10" fillId="0" borderId="46" xfId="5" applyFont="1" applyFill="1" applyBorder="1" applyAlignment="1">
      <alignment horizontal="right" vertical="center"/>
    </xf>
    <xf numFmtId="0" fontId="90" fillId="0" borderId="0" xfId="5" applyFont="1" applyFill="1" applyBorder="1" applyAlignment="1">
      <alignment vertical="center"/>
    </xf>
    <xf numFmtId="0" fontId="10" fillId="0" borderId="46" xfId="5" applyFont="1" applyFill="1" applyBorder="1" applyAlignment="1">
      <alignment horizontal="left" vertical="center" wrapText="1" indent="1"/>
    </xf>
    <xf numFmtId="3" fontId="12" fillId="0" borderId="51" xfId="5" applyNumberFormat="1" applyFont="1" applyBorder="1" applyAlignment="1">
      <alignment horizontal="center" vertical="center"/>
    </xf>
    <xf numFmtId="0" fontId="10" fillId="0" borderId="51" xfId="5" applyFont="1" applyFill="1" applyBorder="1" applyAlignment="1">
      <alignment horizontal="center" vertical="center"/>
    </xf>
    <xf numFmtId="0" fontId="7" fillId="0" borderId="0" xfId="1" applyFont="1" applyFill="1" applyAlignment="1">
      <alignment readingOrder="2"/>
    </xf>
    <xf numFmtId="0" fontId="7" fillId="0" borderId="0" xfId="32" applyFont="1" applyFill="1" applyAlignment="1">
      <alignment horizontal="left" vertical="center"/>
    </xf>
    <xf numFmtId="0" fontId="7" fillId="0" borderId="0" xfId="5" applyFont="1" applyFill="1" applyAlignment="1">
      <alignment horizontal="left" vertical="center"/>
    </xf>
    <xf numFmtId="0" fontId="44" fillId="0" borderId="0" xfId="1" applyFont="1" applyFill="1" applyAlignment="1">
      <alignment vertical="center" wrapText="1" readingOrder="2"/>
    </xf>
    <xf numFmtId="0" fontId="44" fillId="0" borderId="3" xfId="1" applyFont="1" applyFill="1" applyBorder="1" applyAlignment="1">
      <alignment vertical="top" wrapText="1"/>
    </xf>
    <xf numFmtId="3" fontId="47" fillId="0" borderId="61" xfId="5" applyNumberFormat="1" applyFont="1" applyFill="1" applyBorder="1" applyAlignment="1">
      <alignment horizontal="right" vertical="center" indent="2"/>
    </xf>
    <xf numFmtId="3" fontId="47" fillId="0" borderId="50" xfId="5" applyNumberFormat="1" applyFont="1" applyFill="1" applyBorder="1" applyAlignment="1">
      <alignment horizontal="right" vertical="center" indent="2"/>
    </xf>
    <xf numFmtId="0" fontId="70" fillId="0" borderId="61" xfId="5" applyFont="1" applyFill="1" applyBorder="1" applyAlignment="1">
      <alignment horizontal="center" vertical="center"/>
    </xf>
    <xf numFmtId="0" fontId="47" fillId="0" borderId="61" xfId="5" applyFont="1" applyFill="1" applyBorder="1" applyAlignment="1">
      <alignment horizontal="center" vertical="center"/>
    </xf>
    <xf numFmtId="0" fontId="17" fillId="0" borderId="4" xfId="5" applyFont="1" applyFill="1" applyBorder="1" applyAlignment="1"/>
    <xf numFmtId="0" fontId="9" fillId="0" borderId="28" xfId="1" applyFont="1" applyFill="1" applyBorder="1" applyAlignment="1">
      <alignment horizontal="center" vertical="center"/>
    </xf>
    <xf numFmtId="0" fontId="7" fillId="16" borderId="0" xfId="1" applyFont="1" applyFill="1"/>
    <xf numFmtId="0" fontId="4" fillId="0" borderId="0" xfId="34"/>
    <xf numFmtId="0" fontId="7" fillId="0" borderId="0" xfId="5" applyFont="1" applyFill="1" applyAlignment="1">
      <alignment vertical="top"/>
    </xf>
    <xf numFmtId="3" fontId="95" fillId="0" borderId="0" xfId="34" applyNumberFormat="1" applyFont="1" applyAlignment="1">
      <alignment horizontal="center" vertical="center" wrapText="1"/>
    </xf>
    <xf numFmtId="0" fontId="85" fillId="0" borderId="0" xfId="34" applyFont="1" applyAlignment="1">
      <alignment horizontal="center" vertical="center" wrapText="1"/>
    </xf>
    <xf numFmtId="0" fontId="9" fillId="0" borderId="30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/>
    </xf>
    <xf numFmtId="0" fontId="47" fillId="0" borderId="0" xfId="5" applyFont="1" applyFill="1"/>
    <xf numFmtId="0" fontId="96" fillId="0" borderId="0" xfId="34" applyNumberFormat="1" applyFont="1"/>
    <xf numFmtId="0" fontId="96" fillId="0" borderId="0" xfId="34" applyFont="1" applyAlignment="1">
      <alignment horizontal="left"/>
    </xf>
    <xf numFmtId="0" fontId="97" fillId="18" borderId="0" xfId="34" applyNumberFormat="1" applyFont="1" applyFill="1" applyBorder="1"/>
    <xf numFmtId="0" fontId="97" fillId="18" borderId="0" xfId="34" applyFont="1" applyFill="1" applyBorder="1" applyAlignment="1">
      <alignment horizontal="left"/>
    </xf>
    <xf numFmtId="0" fontId="7" fillId="0" borderId="89" xfId="5" applyFont="1" applyFill="1" applyBorder="1"/>
    <xf numFmtId="0" fontId="85" fillId="0" borderId="0" xfId="34" applyFont="1" applyAlignment="1">
      <alignment vertical="center" wrapText="1"/>
    </xf>
    <xf numFmtId="0" fontId="9" fillId="0" borderId="14" xfId="5" applyFont="1" applyFill="1" applyBorder="1" applyAlignment="1">
      <alignment horizontal="center" vertical="center"/>
    </xf>
    <xf numFmtId="0" fontId="9" fillId="0" borderId="68" xfId="5" applyFont="1" applyFill="1" applyBorder="1" applyAlignment="1">
      <alignment horizontal="center" vertical="center"/>
    </xf>
    <xf numFmtId="0" fontId="13" fillId="0" borderId="0" xfId="35"/>
    <xf numFmtId="0" fontId="13" fillId="0" borderId="0" xfId="35" applyBorder="1"/>
    <xf numFmtId="0" fontId="4" fillId="0" borderId="3" xfId="36" applyBorder="1" applyAlignment="1"/>
    <xf numFmtId="0" fontId="83" fillId="2" borderId="44" xfId="36" applyFont="1" applyFill="1" applyBorder="1" applyAlignment="1">
      <alignment horizontal="center" vertical="center" wrapText="1" readingOrder="2"/>
    </xf>
    <xf numFmtId="0" fontId="80" fillId="2" borderId="44" xfId="36" applyFont="1" applyFill="1" applyBorder="1" applyAlignment="1">
      <alignment horizontal="center" vertical="center" wrapText="1" readingOrder="2"/>
    </xf>
    <xf numFmtId="0" fontId="81" fillId="2" borderId="95" xfId="36" applyFont="1" applyFill="1" applyBorder="1" applyAlignment="1">
      <alignment horizontal="center" vertical="center" wrapText="1" readingOrder="2"/>
    </xf>
    <xf numFmtId="0" fontId="81" fillId="2" borderId="73" xfId="36" applyFont="1" applyFill="1" applyBorder="1" applyAlignment="1">
      <alignment horizontal="center" vertical="center" wrapText="1" readingOrder="2"/>
    </xf>
    <xf numFmtId="0" fontId="81" fillId="2" borderId="96" xfId="36" applyFont="1" applyFill="1" applyBorder="1" applyAlignment="1">
      <alignment horizontal="center" vertical="center" wrapText="1" readingOrder="2"/>
    </xf>
    <xf numFmtId="0" fontId="81" fillId="2" borderId="99" xfId="36" applyFont="1" applyFill="1" applyBorder="1" applyAlignment="1">
      <alignment horizontal="center" vertical="center" wrapText="1" readingOrder="2"/>
    </xf>
    <xf numFmtId="0" fontId="81" fillId="2" borderId="100" xfId="36" applyFont="1" applyFill="1" applyBorder="1" applyAlignment="1">
      <alignment horizontal="center" vertical="center" wrapText="1" readingOrder="2"/>
    </xf>
    <xf numFmtId="0" fontId="81" fillId="2" borderId="101" xfId="36" applyFont="1" applyFill="1" applyBorder="1" applyAlignment="1">
      <alignment horizontal="center" vertical="center" wrapText="1" readingOrder="2"/>
    </xf>
    <xf numFmtId="0" fontId="81" fillId="2" borderId="102" xfId="36" applyFont="1" applyFill="1" applyBorder="1" applyAlignment="1">
      <alignment horizontal="center" vertical="center" wrapText="1" readingOrder="2"/>
    </xf>
    <xf numFmtId="0" fontId="81" fillId="2" borderId="103" xfId="36" applyFont="1" applyFill="1" applyBorder="1" applyAlignment="1">
      <alignment horizontal="center" vertical="center" wrapText="1" readingOrder="2"/>
    </xf>
    <xf numFmtId="0" fontId="81" fillId="2" borderId="104" xfId="36" applyFont="1" applyFill="1" applyBorder="1" applyAlignment="1">
      <alignment horizontal="center" vertical="center" wrapText="1" readingOrder="2"/>
    </xf>
    <xf numFmtId="0" fontId="81" fillId="2" borderId="105" xfId="36" applyFont="1" applyFill="1" applyBorder="1" applyAlignment="1">
      <alignment horizontal="center" vertical="center" wrapText="1" readingOrder="2"/>
    </xf>
    <xf numFmtId="0" fontId="81" fillId="2" borderId="106" xfId="36" applyFont="1" applyFill="1" applyBorder="1" applyAlignment="1">
      <alignment horizontal="center" vertical="center" wrapText="1" readingOrder="2"/>
    </xf>
    <xf numFmtId="0" fontId="105" fillId="2" borderId="107" xfId="36" applyFont="1" applyFill="1" applyBorder="1" applyAlignment="1">
      <alignment horizontal="center" vertical="center" wrapText="1" readingOrder="2"/>
    </xf>
    <xf numFmtId="0" fontId="69" fillId="2" borderId="59" xfId="36" applyFont="1" applyFill="1" applyBorder="1" applyAlignment="1">
      <alignment horizontal="center" vertical="center" wrapText="1" readingOrder="2"/>
    </xf>
    <xf numFmtId="0" fontId="81" fillId="2" borderId="44" xfId="36" applyFont="1" applyFill="1" applyBorder="1" applyAlignment="1">
      <alignment horizontal="center" vertical="center" wrapText="1" readingOrder="2"/>
    </xf>
    <xf numFmtId="0" fontId="81" fillId="2" borderId="92" xfId="36" applyFont="1" applyFill="1" applyBorder="1" applyAlignment="1">
      <alignment horizontal="center" vertical="center" wrapText="1" readingOrder="2"/>
    </xf>
    <xf numFmtId="0" fontId="81" fillId="2" borderId="108" xfId="36" applyFont="1" applyFill="1" applyBorder="1" applyAlignment="1">
      <alignment horizontal="center" vertical="center" wrapText="1" readingOrder="2"/>
    </xf>
    <xf numFmtId="0" fontId="81" fillId="2" borderId="5" xfId="36" applyFont="1" applyFill="1" applyBorder="1" applyAlignment="1">
      <alignment horizontal="center" vertical="center" wrapText="1" readingOrder="2"/>
    </xf>
    <xf numFmtId="0" fontId="81" fillId="2" borderId="57" xfId="36" applyFont="1" applyFill="1" applyBorder="1" applyAlignment="1">
      <alignment horizontal="center" vertical="center" wrapText="1" readingOrder="2"/>
    </xf>
    <xf numFmtId="0" fontId="81" fillId="2" borderId="91" xfId="36" applyFont="1" applyFill="1" applyBorder="1" applyAlignment="1">
      <alignment horizontal="center" vertical="center" wrapText="1" readingOrder="2"/>
    </xf>
    <xf numFmtId="0" fontId="81" fillId="2" borderId="109" xfId="36" applyFont="1" applyFill="1" applyBorder="1" applyAlignment="1">
      <alignment horizontal="center" vertical="center" wrapText="1" readingOrder="2"/>
    </xf>
    <xf numFmtId="0" fontId="105" fillId="2" borderId="68" xfId="36" applyFont="1" applyFill="1" applyBorder="1" applyAlignment="1">
      <alignment horizontal="center" vertical="center" wrapText="1" readingOrder="2"/>
    </xf>
    <xf numFmtId="0" fontId="69" fillId="2" borderId="44" xfId="36" applyFont="1" applyFill="1" applyBorder="1" applyAlignment="1">
      <alignment horizontal="center" vertical="center" wrapText="1" readingOrder="2"/>
    </xf>
    <xf numFmtId="0" fontId="105" fillId="2" borderId="25" xfId="36" applyFont="1" applyFill="1" applyBorder="1" applyAlignment="1">
      <alignment horizontal="center" vertical="center" wrapText="1" readingOrder="2"/>
    </xf>
    <xf numFmtId="0" fontId="81" fillId="2" borderId="110" xfId="36" quotePrefix="1" applyFont="1" applyFill="1" applyBorder="1" applyAlignment="1">
      <alignment horizontal="center" vertical="center" wrapText="1" readingOrder="2"/>
    </xf>
    <xf numFmtId="0" fontId="81" fillId="2" borderId="65" xfId="36" applyFont="1" applyFill="1" applyBorder="1" applyAlignment="1">
      <alignment horizontal="center" vertical="center" wrapText="1" readingOrder="2"/>
    </xf>
    <xf numFmtId="0" fontId="81" fillId="2" borderId="110" xfId="36" applyFont="1" applyFill="1" applyBorder="1" applyAlignment="1">
      <alignment horizontal="center" vertical="center" wrapText="1" readingOrder="2"/>
    </xf>
    <xf numFmtId="0" fontId="81" fillId="2" borderId="111" xfId="36" applyFont="1" applyFill="1" applyBorder="1" applyAlignment="1">
      <alignment horizontal="center" vertical="center" wrapText="1" readingOrder="2"/>
    </xf>
    <xf numFmtId="0" fontId="81" fillId="2" borderId="112" xfId="36" applyFont="1" applyFill="1" applyBorder="1" applyAlignment="1">
      <alignment horizontal="center" vertical="center" wrapText="1" readingOrder="2"/>
    </xf>
    <xf numFmtId="0" fontId="81" fillId="2" borderId="113" xfId="36" applyFont="1" applyFill="1" applyBorder="1" applyAlignment="1">
      <alignment horizontal="center" vertical="center" wrapText="1" readingOrder="2"/>
    </xf>
    <xf numFmtId="0" fontId="105" fillId="2" borderId="114" xfId="36" applyFont="1" applyFill="1" applyBorder="1" applyAlignment="1">
      <alignment horizontal="center" vertical="center" wrapText="1" readingOrder="2"/>
    </xf>
    <xf numFmtId="0" fontId="105" fillId="2" borderId="115" xfId="36" applyFont="1" applyFill="1" applyBorder="1" applyAlignment="1">
      <alignment horizontal="center" vertical="center" wrapText="1" readingOrder="2"/>
    </xf>
    <xf numFmtId="0" fontId="81" fillId="2" borderId="0" xfId="36" applyFont="1" applyFill="1" applyBorder="1" applyAlignment="1">
      <alignment horizontal="center" vertical="center" wrapText="1" readingOrder="2"/>
    </xf>
    <xf numFmtId="0" fontId="81" fillId="2" borderId="60" xfId="36" applyFont="1" applyFill="1" applyBorder="1" applyAlignment="1">
      <alignment horizontal="center" vertical="center" wrapText="1" readingOrder="2"/>
    </xf>
    <xf numFmtId="0" fontId="81" fillId="2" borderId="1" xfId="36" applyFont="1" applyFill="1" applyBorder="1" applyAlignment="1">
      <alignment horizontal="center" vertical="center" wrapText="1" readingOrder="2"/>
    </xf>
    <xf numFmtId="0" fontId="81" fillId="2" borderId="116" xfId="36" applyFont="1" applyFill="1" applyBorder="1" applyAlignment="1">
      <alignment horizontal="center" vertical="center" wrapText="1" readingOrder="2"/>
    </xf>
    <xf numFmtId="0" fontId="81" fillId="2" borderId="36" xfId="36" applyFont="1" applyFill="1" applyBorder="1" applyAlignment="1">
      <alignment horizontal="center" vertical="center" wrapText="1" readingOrder="2"/>
    </xf>
    <xf numFmtId="0" fontId="81" fillId="2" borderId="26" xfId="36" applyFont="1" applyFill="1" applyBorder="1" applyAlignment="1">
      <alignment horizontal="center" vertical="center" wrapText="1" readingOrder="2"/>
    </xf>
    <xf numFmtId="0" fontId="81" fillId="2" borderId="117" xfId="36" applyFont="1" applyFill="1" applyBorder="1" applyAlignment="1">
      <alignment horizontal="center" vertical="center" wrapText="1" readingOrder="2"/>
    </xf>
    <xf numFmtId="0" fontId="105" fillId="2" borderId="46" xfId="36" applyFont="1" applyFill="1" applyBorder="1" applyAlignment="1">
      <alignment horizontal="center" vertical="center" wrapText="1" readingOrder="2"/>
    </xf>
    <xf numFmtId="1" fontId="7" fillId="0" borderId="0" xfId="5" applyNumberFormat="1" applyFont="1" applyFill="1" applyAlignment="1">
      <alignment vertical="center"/>
    </xf>
    <xf numFmtId="171" fontId="7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vertical="center"/>
    </xf>
    <xf numFmtId="0" fontId="7" fillId="2" borderId="0" xfId="5" applyFont="1" applyFill="1" applyAlignment="1">
      <alignment vertical="center"/>
    </xf>
    <xf numFmtId="1" fontId="47" fillId="0" borderId="58" xfId="5" applyNumberFormat="1" applyFont="1" applyFill="1" applyBorder="1" applyAlignment="1">
      <alignment horizontal="center" vertical="center"/>
    </xf>
    <xf numFmtId="1" fontId="47" fillId="0" borderId="5" xfId="5" applyNumberFormat="1" applyFont="1" applyFill="1" applyBorder="1" applyAlignment="1">
      <alignment horizontal="center" vertical="center" readingOrder="2"/>
    </xf>
    <xf numFmtId="1" fontId="47" fillId="2" borderId="5" xfId="5" applyNumberFormat="1" applyFont="1" applyFill="1" applyBorder="1" applyAlignment="1">
      <alignment horizontal="center" vertical="center" readingOrder="2"/>
    </xf>
    <xf numFmtId="1" fontId="47" fillId="2" borderId="57" xfId="5" applyNumberFormat="1" applyFont="1" applyFill="1" applyBorder="1" applyAlignment="1">
      <alignment horizontal="center" vertical="center" readingOrder="2"/>
    </xf>
    <xf numFmtId="1" fontId="47" fillId="2" borderId="7" xfId="5" applyNumberFormat="1" applyFont="1" applyFill="1" applyBorder="1" applyAlignment="1">
      <alignment horizontal="center" vertical="center" readingOrder="2"/>
    </xf>
    <xf numFmtId="1" fontId="47" fillId="2" borderId="68" xfId="5" applyNumberFormat="1" applyFont="1" applyFill="1" applyBorder="1" applyAlignment="1">
      <alignment horizontal="center" vertical="center" readingOrder="2"/>
    </xf>
    <xf numFmtId="1" fontId="23" fillId="0" borderId="44" xfId="5" applyNumberFormat="1" applyFont="1" applyFill="1" applyBorder="1" applyAlignment="1">
      <alignment horizontal="center" vertical="center"/>
    </xf>
    <xf numFmtId="0" fontId="47" fillId="2" borderId="29" xfId="5" applyNumberFormat="1" applyFont="1" applyFill="1" applyBorder="1" applyAlignment="1">
      <alignment horizontal="center" vertical="center" wrapText="1" readingOrder="2"/>
    </xf>
    <xf numFmtId="1" fontId="47" fillId="0" borderId="16" xfId="5" applyNumberFormat="1" applyFont="1" applyFill="1" applyBorder="1" applyAlignment="1">
      <alignment horizontal="center" vertical="center" wrapText="1" readingOrder="2"/>
    </xf>
    <xf numFmtId="1" fontId="47" fillId="2" borderId="67" xfId="5" applyNumberFormat="1" applyFont="1" applyFill="1" applyBorder="1" applyAlignment="1">
      <alignment horizontal="center" vertical="center" wrapText="1" readingOrder="2"/>
    </xf>
    <xf numFmtId="0" fontId="47" fillId="0" borderId="28" xfId="5" applyNumberFormat="1" applyFont="1" applyFill="1" applyBorder="1" applyAlignment="1">
      <alignment horizontal="center" vertical="center" wrapText="1" readingOrder="2"/>
    </xf>
    <xf numFmtId="0" fontId="47" fillId="0" borderId="29" xfId="5" applyNumberFormat="1" applyFont="1" applyFill="1" applyBorder="1" applyAlignment="1">
      <alignment horizontal="center" vertical="center" wrapText="1" readingOrder="2"/>
    </xf>
    <xf numFmtId="0" fontId="108" fillId="0" borderId="30" xfId="5" applyFont="1" applyFill="1" applyBorder="1" applyAlignment="1">
      <alignment horizontal="center" vertical="center"/>
    </xf>
    <xf numFmtId="0" fontId="47" fillId="2" borderId="16" xfId="5" applyNumberFormat="1" applyFont="1" applyFill="1" applyBorder="1" applyAlignment="1">
      <alignment horizontal="center" vertical="center" wrapText="1" readingOrder="2"/>
    </xf>
    <xf numFmtId="1" fontId="47" fillId="2" borderId="24" xfId="5" applyNumberFormat="1" applyFont="1" applyFill="1" applyBorder="1" applyAlignment="1">
      <alignment horizontal="center" vertical="center" wrapText="1" readingOrder="2"/>
    </xf>
    <xf numFmtId="0" fontId="47" fillId="0" borderId="31" xfId="5" applyNumberFormat="1" applyFont="1" applyFill="1" applyBorder="1" applyAlignment="1">
      <alignment horizontal="center" vertical="center" wrapText="1" readingOrder="2"/>
    </xf>
    <xf numFmtId="0" fontId="47" fillId="0" borderId="16" xfId="5" applyNumberFormat="1" applyFont="1" applyFill="1" applyBorder="1" applyAlignment="1">
      <alignment horizontal="center" vertical="center" wrapText="1" readingOrder="2"/>
    </xf>
    <xf numFmtId="0" fontId="47" fillId="0" borderId="32" xfId="5" applyNumberFormat="1" applyFont="1" applyFill="1" applyBorder="1" applyAlignment="1">
      <alignment horizontal="center" vertical="center" wrapText="1" readingOrder="2"/>
    </xf>
    <xf numFmtId="1" fontId="47" fillId="0" borderId="24" xfId="5" applyNumberFormat="1" applyFont="1" applyFill="1" applyBorder="1" applyAlignment="1">
      <alignment horizontal="center" vertical="center" wrapText="1" readingOrder="2"/>
    </xf>
    <xf numFmtId="0" fontId="47" fillId="0" borderId="18" xfId="5" applyNumberFormat="1" applyFont="1" applyFill="1" applyBorder="1" applyAlignment="1">
      <alignment horizontal="center" vertical="center" wrapText="1" readingOrder="2"/>
    </xf>
    <xf numFmtId="0" fontId="47" fillId="0" borderId="15" xfId="5" applyNumberFormat="1" applyFont="1" applyFill="1" applyBorder="1" applyAlignment="1">
      <alignment horizontal="center" vertical="center" wrapText="1" readingOrder="2"/>
    </xf>
    <xf numFmtId="0" fontId="10" fillId="0" borderId="66" xfId="5" applyFont="1" applyFill="1" applyBorder="1" applyAlignment="1">
      <alignment vertical="center"/>
    </xf>
    <xf numFmtId="1" fontId="12" fillId="0" borderId="22" xfId="5" applyNumberFormat="1" applyFont="1" applyFill="1" applyBorder="1" applyAlignment="1">
      <alignment horizontal="center" vertical="center" wrapText="1" readingOrder="2"/>
    </xf>
    <xf numFmtId="1" fontId="47" fillId="2" borderId="16" xfId="5" applyNumberFormat="1" applyFont="1" applyFill="1" applyBorder="1" applyAlignment="1">
      <alignment horizontal="center" vertical="center" wrapText="1" readingOrder="2"/>
    </xf>
    <xf numFmtId="1" fontId="47" fillId="0" borderId="22" xfId="5" applyNumberFormat="1" applyFont="1" applyFill="1" applyBorder="1" applyAlignment="1">
      <alignment horizontal="center" vertical="center" wrapText="1" readingOrder="2"/>
    </xf>
    <xf numFmtId="0" fontId="47" fillId="2" borderId="18" xfId="5" applyNumberFormat="1" applyFont="1" applyFill="1" applyBorder="1" applyAlignment="1">
      <alignment horizontal="center" vertical="center" wrapText="1" readingOrder="2"/>
    </xf>
    <xf numFmtId="0" fontId="7" fillId="16" borderId="0" xfId="5" applyFont="1" applyFill="1" applyAlignment="1">
      <alignment vertical="center"/>
    </xf>
    <xf numFmtId="0" fontId="23" fillId="0" borderId="23" xfId="5" applyFont="1" applyFill="1" applyBorder="1" applyAlignment="1">
      <alignment horizontal="center" vertical="center"/>
    </xf>
    <xf numFmtId="169" fontId="12" fillId="0" borderId="22" xfId="5" applyNumberFormat="1" applyFont="1" applyFill="1" applyBorder="1" applyAlignment="1">
      <alignment horizontal="center" vertical="center" wrapText="1" readingOrder="2"/>
    </xf>
    <xf numFmtId="1" fontId="47" fillId="2" borderId="22" xfId="5" applyNumberFormat="1" applyFont="1" applyFill="1" applyBorder="1" applyAlignment="1">
      <alignment horizontal="center" vertical="center" wrapText="1" readingOrder="2"/>
    </xf>
    <xf numFmtId="0" fontId="23" fillId="2" borderId="19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0" fillId="2" borderId="20" xfId="5" applyFont="1" applyFill="1" applyBorder="1" applyAlignment="1">
      <alignment horizontal="center" vertical="center"/>
    </xf>
    <xf numFmtId="1" fontId="12" fillId="2" borderId="22" xfId="5" applyNumberFormat="1" applyFont="1" applyFill="1" applyBorder="1" applyAlignment="1">
      <alignment horizontal="center" vertical="center" wrapText="1" readingOrder="2"/>
    </xf>
    <xf numFmtId="169" fontId="12" fillId="0" borderId="65" xfId="5" applyNumberFormat="1" applyFont="1" applyFill="1" applyBorder="1" applyAlignment="1">
      <alignment horizontal="center" vertical="center" wrapText="1" readingOrder="2"/>
    </xf>
    <xf numFmtId="0" fontId="109" fillId="0" borderId="0" xfId="1" applyFont="1" applyAlignment="1">
      <alignment horizontal="center" vertical="center"/>
    </xf>
    <xf numFmtId="0" fontId="47" fillId="0" borderId="16" xfId="5" applyNumberFormat="1" applyFont="1" applyFill="1" applyBorder="1" applyAlignment="1">
      <alignment horizontal="center" vertical="center"/>
    </xf>
    <xf numFmtId="1" fontId="110" fillId="0" borderId="16" xfId="1" applyNumberFormat="1" applyFont="1" applyBorder="1" applyAlignment="1">
      <alignment horizontal="center" vertical="center"/>
    </xf>
    <xf numFmtId="0" fontId="13" fillId="2" borderId="0" xfId="5" applyFont="1" applyFill="1" applyBorder="1" applyAlignment="1">
      <alignment vertical="center"/>
    </xf>
    <xf numFmtId="0" fontId="41" fillId="2" borderId="20" xfId="5" applyFont="1" applyFill="1" applyBorder="1" applyAlignment="1">
      <alignment horizontal="center" vertical="center"/>
    </xf>
    <xf numFmtId="169" fontId="12" fillId="2" borderId="0" xfId="5" applyNumberFormat="1" applyFont="1" applyFill="1" applyBorder="1" applyAlignment="1">
      <alignment horizontal="center" vertical="center" wrapText="1" readingOrder="2"/>
    </xf>
    <xf numFmtId="169" fontId="12" fillId="2" borderId="22" xfId="5" applyNumberFormat="1" applyFont="1" applyFill="1" applyBorder="1" applyAlignment="1">
      <alignment horizontal="center" vertical="center" wrapText="1" readingOrder="2"/>
    </xf>
    <xf numFmtId="0" fontId="108" fillId="0" borderId="19" xfId="5" applyFont="1" applyFill="1" applyBorder="1" applyAlignment="1">
      <alignment horizontal="center" vertical="center"/>
    </xf>
    <xf numFmtId="1" fontId="47" fillId="0" borderId="16" xfId="5" quotePrefix="1" applyNumberFormat="1" applyFont="1" applyFill="1" applyBorder="1" applyAlignment="1">
      <alignment horizontal="center" vertical="center" wrapText="1" readingOrder="2"/>
    </xf>
    <xf numFmtId="1" fontId="47" fillId="0" borderId="22" xfId="5" quotePrefix="1" applyNumberFormat="1" applyFont="1" applyFill="1" applyBorder="1" applyAlignment="1">
      <alignment horizontal="center" vertical="center" wrapText="1" readingOrder="2"/>
    </xf>
    <xf numFmtId="0" fontId="47" fillId="0" borderId="50" xfId="5" applyFont="1" applyFill="1" applyBorder="1" applyAlignment="1">
      <alignment horizontal="center" vertical="center"/>
    </xf>
    <xf numFmtId="0" fontId="47" fillId="2" borderId="12" xfId="5" applyNumberFormat="1" applyFont="1" applyFill="1" applyBorder="1" applyAlignment="1">
      <alignment horizontal="center" vertical="center" wrapText="1" readingOrder="2"/>
    </xf>
    <xf numFmtId="1" fontId="47" fillId="0" borderId="12" xfId="5" applyNumberFormat="1" applyFont="1" applyFill="1" applyBorder="1" applyAlignment="1">
      <alignment horizontal="center" vertical="center" wrapText="1" readingOrder="2"/>
    </xf>
    <xf numFmtId="1" fontId="47" fillId="0" borderId="55" xfId="5" applyNumberFormat="1" applyFont="1" applyFill="1" applyBorder="1" applyAlignment="1">
      <alignment horizontal="center" vertical="center" wrapText="1" readingOrder="2"/>
    </xf>
    <xf numFmtId="0" fontId="47" fillId="0" borderId="50" xfId="5" applyNumberFormat="1" applyFont="1" applyFill="1" applyBorder="1" applyAlignment="1">
      <alignment horizontal="center" vertical="center" wrapText="1" readingOrder="2"/>
    </xf>
    <xf numFmtId="0" fontId="47" fillId="0" borderId="12" xfId="5" applyNumberFormat="1" applyFont="1" applyFill="1" applyBorder="1" applyAlignment="1">
      <alignment horizontal="center" vertical="center" wrapText="1" readingOrder="2"/>
    </xf>
    <xf numFmtId="0" fontId="47" fillId="0" borderId="48" xfId="5" applyNumberFormat="1" applyFont="1" applyFill="1" applyBorder="1" applyAlignment="1">
      <alignment horizontal="center" vertical="center" wrapText="1" readingOrder="2"/>
    </xf>
    <xf numFmtId="0" fontId="47" fillId="0" borderId="28" xfId="5" applyFont="1" applyFill="1" applyBorder="1" applyAlignment="1">
      <alignment horizontal="center" vertical="center"/>
    </xf>
    <xf numFmtId="1" fontId="47" fillId="0" borderId="29" xfId="5" applyNumberFormat="1" applyFont="1" applyFill="1" applyBorder="1" applyAlignment="1">
      <alignment horizontal="center" vertical="center" wrapText="1" readingOrder="2"/>
    </xf>
    <xf numFmtId="1" fontId="47" fillId="0" borderId="67" xfId="5" applyNumberFormat="1" applyFont="1" applyFill="1" applyBorder="1" applyAlignment="1">
      <alignment horizontal="center" vertical="center" wrapText="1" readingOrder="2"/>
    </xf>
    <xf numFmtId="0" fontId="47" fillId="0" borderId="53" xfId="5" applyNumberFormat="1" applyFont="1" applyFill="1" applyBorder="1" applyAlignment="1">
      <alignment horizontal="center" vertical="center" wrapText="1" readingOrder="2"/>
    </xf>
    <xf numFmtId="0" fontId="23" fillId="0" borderId="66" xfId="5" applyFont="1" applyFill="1" applyBorder="1" applyAlignment="1">
      <alignment horizontal="center" vertical="center"/>
    </xf>
    <xf numFmtId="169" fontId="12" fillId="0" borderId="63" xfId="5" applyNumberFormat="1" applyFont="1" applyFill="1" applyBorder="1" applyAlignment="1">
      <alignment horizontal="center" vertical="center" wrapText="1" readingOrder="2"/>
    </xf>
    <xf numFmtId="0" fontId="47" fillId="2" borderId="9" xfId="5" applyNumberFormat="1" applyFont="1" applyFill="1" applyBorder="1" applyAlignment="1">
      <alignment horizontal="center" vertical="center" wrapText="1" readingOrder="2"/>
    </xf>
    <xf numFmtId="1" fontId="47" fillId="0" borderId="9" xfId="5" applyNumberFormat="1" applyFont="1" applyFill="1" applyBorder="1" applyAlignment="1">
      <alignment horizontal="center" vertical="center" wrapText="1" readingOrder="2"/>
    </xf>
    <xf numFmtId="1" fontId="47" fillId="0" borderId="63" xfId="5" applyNumberFormat="1" applyFont="1" applyFill="1" applyBorder="1" applyAlignment="1">
      <alignment horizontal="center" vertical="center" wrapText="1" readingOrder="2"/>
    </xf>
    <xf numFmtId="0" fontId="47" fillId="0" borderId="11" xfId="5" applyNumberFormat="1" applyFont="1" applyFill="1" applyBorder="1" applyAlignment="1">
      <alignment horizontal="center" vertical="center" wrapText="1" readingOrder="2"/>
    </xf>
    <xf numFmtId="0" fontId="47" fillId="0" borderId="9" xfId="5" applyNumberFormat="1" applyFont="1" applyFill="1" applyBorder="1" applyAlignment="1">
      <alignment horizontal="center" vertical="center" wrapText="1" readingOrder="2"/>
    </xf>
    <xf numFmtId="0" fontId="47" fillId="0" borderId="8" xfId="5" applyNumberFormat="1" applyFont="1" applyFill="1" applyBorder="1" applyAlignment="1">
      <alignment horizontal="center" vertical="center" wrapText="1" readingOrder="2"/>
    </xf>
    <xf numFmtId="0" fontId="23" fillId="0" borderId="74" xfId="5" applyFont="1" applyFill="1" applyBorder="1" applyAlignment="1">
      <alignment horizontal="center" vertical="center"/>
    </xf>
    <xf numFmtId="0" fontId="23" fillId="0" borderId="4" xfId="5" applyFont="1" applyFill="1" applyBorder="1" applyAlignment="1">
      <alignment horizontal="center" vertical="center" wrapText="1"/>
    </xf>
    <xf numFmtId="0" fontId="23" fillId="2" borderId="39" xfId="5" applyFont="1" applyFill="1" applyBorder="1" applyAlignment="1">
      <alignment horizontal="center" vertical="center" wrapText="1"/>
    </xf>
    <xf numFmtId="0" fontId="23" fillId="2" borderId="39" xfId="5" applyFont="1" applyFill="1" applyBorder="1" applyAlignment="1">
      <alignment horizontal="center" vertical="center" wrapText="1" shrinkToFit="1"/>
    </xf>
    <xf numFmtId="0" fontId="23" fillId="2" borderId="38" xfId="5" applyFont="1" applyFill="1" applyBorder="1" applyAlignment="1">
      <alignment horizontal="center" vertical="center" wrapText="1"/>
    </xf>
    <xf numFmtId="0" fontId="23" fillId="2" borderId="40" xfId="5" applyFont="1" applyFill="1" applyBorder="1" applyAlignment="1">
      <alignment horizontal="center" vertical="center" wrapText="1"/>
    </xf>
    <xf numFmtId="0" fontId="23" fillId="0" borderId="39" xfId="5" applyFont="1" applyFill="1" applyBorder="1" applyAlignment="1">
      <alignment horizontal="center" vertical="center"/>
    </xf>
    <xf numFmtId="0" fontId="23" fillId="0" borderId="62" xfId="5" applyFont="1" applyFill="1" applyBorder="1" applyAlignment="1">
      <alignment horizontal="center" vertical="center"/>
    </xf>
    <xf numFmtId="0" fontId="23" fillId="0" borderId="71" xfId="5" applyFont="1" applyFill="1" applyBorder="1" applyAlignment="1">
      <alignment horizontal="center" vertical="center" wrapText="1"/>
    </xf>
    <xf numFmtId="182" fontId="7" fillId="0" borderId="0" xfId="5" applyNumberFormat="1" applyFont="1" applyFill="1"/>
    <xf numFmtId="0" fontId="7" fillId="2" borderId="3" xfId="5" applyFont="1" applyFill="1" applyBorder="1" applyAlignment="1">
      <alignment vertical="center"/>
    </xf>
    <xf numFmtId="2" fontId="7" fillId="0" borderId="0" xfId="5" applyNumberFormat="1" applyFont="1" applyFill="1"/>
    <xf numFmtId="1" fontId="47" fillId="0" borderId="44" xfId="5" applyNumberFormat="1" applyFont="1" applyFill="1" applyBorder="1" applyAlignment="1">
      <alignment horizontal="center" vertical="center" readingOrder="2"/>
    </xf>
    <xf numFmtId="1" fontId="47" fillId="2" borderId="59" xfId="5" applyNumberFormat="1" applyFont="1" applyFill="1" applyBorder="1" applyAlignment="1">
      <alignment horizontal="center" vertical="center" readingOrder="2"/>
    </xf>
    <xf numFmtId="0" fontId="47" fillId="2" borderId="53" xfId="5" applyNumberFormat="1" applyFont="1" applyFill="1" applyBorder="1" applyAlignment="1">
      <alignment horizontal="center" vertical="center" wrapText="1" readingOrder="2"/>
    </xf>
    <xf numFmtId="1" fontId="47" fillId="2" borderId="30" xfId="5" applyNumberFormat="1" applyFont="1" applyFill="1" applyBorder="1" applyAlignment="1">
      <alignment horizontal="center" vertical="center" readingOrder="2"/>
    </xf>
    <xf numFmtId="0" fontId="41" fillId="0" borderId="66" xfId="5" applyFont="1" applyFill="1" applyBorder="1" applyAlignment="1">
      <alignment horizontal="center" vertical="center"/>
    </xf>
    <xf numFmtId="0" fontId="47" fillId="2" borderId="15" xfId="5" applyNumberFormat="1" applyFont="1" applyFill="1" applyBorder="1" applyAlignment="1">
      <alignment horizontal="center" vertical="center" wrapText="1" readingOrder="2"/>
    </xf>
    <xf numFmtId="1" fontId="47" fillId="2" borderId="19" xfId="5" applyNumberFormat="1" applyFont="1" applyFill="1" applyBorder="1" applyAlignment="1">
      <alignment horizontal="center" vertical="center" readingOrder="2"/>
    </xf>
    <xf numFmtId="0" fontId="113" fillId="0" borderId="20" xfId="5" applyFont="1" applyFill="1" applyBorder="1" applyAlignment="1">
      <alignment horizontal="center" vertical="center"/>
    </xf>
    <xf numFmtId="0" fontId="114" fillId="0" borderId="20" xfId="5" applyFont="1" applyFill="1" applyBorder="1" applyAlignment="1">
      <alignment horizontal="center" vertical="center" wrapText="1"/>
    </xf>
    <xf numFmtId="1" fontId="47" fillId="2" borderId="56" xfId="5" applyNumberFormat="1" applyFont="1" applyFill="1" applyBorder="1" applyAlignment="1">
      <alignment horizontal="center" vertical="center" readingOrder="2"/>
    </xf>
    <xf numFmtId="0" fontId="41" fillId="0" borderId="20" xfId="5" applyFont="1" applyFill="1" applyBorder="1" applyAlignment="1">
      <alignment horizontal="center" vertical="center"/>
    </xf>
    <xf numFmtId="0" fontId="115" fillId="0" borderId="20" xfId="5" applyFont="1" applyFill="1" applyBorder="1" applyAlignment="1">
      <alignment horizontal="center" vertical="center" wrapText="1"/>
    </xf>
    <xf numFmtId="0" fontId="47" fillId="2" borderId="48" xfId="5" applyNumberFormat="1" applyFont="1" applyFill="1" applyBorder="1" applyAlignment="1">
      <alignment horizontal="center" vertical="center" wrapText="1" readingOrder="2"/>
    </xf>
    <xf numFmtId="0" fontId="115" fillId="0" borderId="74" xfId="5" applyFont="1" applyFill="1" applyBorder="1" applyAlignment="1">
      <alignment horizontal="center" vertical="center" wrapText="1"/>
    </xf>
    <xf numFmtId="0" fontId="7" fillId="2" borderId="0" xfId="5" applyFont="1" applyFill="1"/>
    <xf numFmtId="0" fontId="6" fillId="0" borderId="0" xfId="37"/>
    <xf numFmtId="0" fontId="47" fillId="2" borderId="8" xfId="5" applyNumberFormat="1" applyFont="1" applyFill="1" applyBorder="1" applyAlignment="1">
      <alignment horizontal="center" vertical="center" wrapText="1" readingOrder="2"/>
    </xf>
    <xf numFmtId="1" fontId="47" fillId="2" borderId="14" xfId="5" applyNumberFormat="1" applyFont="1" applyFill="1" applyBorder="1" applyAlignment="1">
      <alignment horizontal="center" vertical="center" readingOrder="2"/>
    </xf>
    <xf numFmtId="0" fontId="23" fillId="0" borderId="7" xfId="5" applyFont="1" applyFill="1" applyBorder="1" applyAlignment="1">
      <alignment horizontal="center" vertical="center" wrapText="1"/>
    </xf>
    <xf numFmtId="0" fontId="18" fillId="0" borderId="5" xfId="5" applyFont="1" applyFill="1" applyBorder="1" applyAlignment="1">
      <alignment horizontal="center" vertical="center"/>
    </xf>
    <xf numFmtId="0" fontId="23" fillId="2" borderId="68" xfId="5" applyFont="1" applyFill="1" applyBorder="1" applyAlignment="1">
      <alignment horizontal="center" vertical="center" wrapText="1"/>
    </xf>
    <xf numFmtId="0" fontId="7" fillId="0" borderId="0" xfId="1" applyFont="1"/>
    <xf numFmtId="169" fontId="116" fillId="0" borderId="0" xfId="1" applyNumberFormat="1" applyFont="1" applyFill="1" applyBorder="1"/>
    <xf numFmtId="0" fontId="116" fillId="0" borderId="0" xfId="1" applyFont="1" applyFill="1" applyBorder="1"/>
    <xf numFmtId="0" fontId="6" fillId="0" borderId="0" xfId="1" applyBorder="1" applyAlignment="1"/>
    <xf numFmtId="0" fontId="6" fillId="0" borderId="0" xfId="1" applyBorder="1"/>
    <xf numFmtId="1" fontId="6" fillId="0" borderId="0" xfId="1" applyNumberFormat="1"/>
    <xf numFmtId="0" fontId="117" fillId="0" borderId="0" xfId="1" applyFont="1"/>
    <xf numFmtId="0" fontId="6" fillId="2" borderId="0" xfId="1" applyFill="1"/>
    <xf numFmtId="1" fontId="6" fillId="5" borderId="0" xfId="1" applyNumberFormat="1" applyFill="1"/>
    <xf numFmtId="0" fontId="6" fillId="5" borderId="0" xfId="1" applyFill="1"/>
    <xf numFmtId="1" fontId="6" fillId="2" borderId="0" xfId="1" applyNumberFormat="1" applyFill="1" applyBorder="1" applyAlignment="1">
      <alignment wrapText="1"/>
    </xf>
    <xf numFmtId="0" fontId="6" fillId="19" borderId="0" xfId="1" applyFill="1"/>
    <xf numFmtId="0" fontId="6" fillId="0" borderId="16" xfId="1" applyBorder="1"/>
    <xf numFmtId="169" fontId="6" fillId="0" borderId="0" xfId="1" applyNumberFormat="1"/>
    <xf numFmtId="1" fontId="6" fillId="2" borderId="28" xfId="1" applyNumberFormat="1" applyFill="1" applyBorder="1" applyAlignment="1">
      <alignment wrapText="1"/>
    </xf>
    <xf numFmtId="1" fontId="6" fillId="2" borderId="29" xfId="1" applyNumberFormat="1" applyFill="1" applyBorder="1" applyAlignment="1">
      <alignment wrapText="1"/>
    </xf>
    <xf numFmtId="0" fontId="6" fillId="0" borderId="53" xfId="1" applyBorder="1" applyAlignment="1"/>
    <xf numFmtId="1" fontId="6" fillId="20" borderId="28" xfId="1" applyNumberFormat="1" applyFill="1" applyBorder="1" applyAlignment="1">
      <alignment horizontal="center" wrapText="1"/>
    </xf>
    <xf numFmtId="1" fontId="6" fillId="20" borderId="29" xfId="1" applyNumberFormat="1" applyFill="1" applyBorder="1" applyAlignment="1">
      <alignment horizontal="center" wrapText="1"/>
    </xf>
    <xf numFmtId="1" fontId="116" fillId="0" borderId="16" xfId="1" applyNumberFormat="1" applyFont="1" applyFill="1" applyBorder="1"/>
    <xf numFmtId="0" fontId="6" fillId="0" borderId="16" xfId="1" applyBorder="1" applyAlignment="1"/>
    <xf numFmtId="1" fontId="6" fillId="2" borderId="18" xfId="1" applyNumberFormat="1" applyFill="1" applyBorder="1" applyAlignment="1">
      <alignment wrapText="1"/>
    </xf>
    <xf numFmtId="1" fontId="6" fillId="4" borderId="16" xfId="1" applyNumberFormat="1" applyFill="1" applyBorder="1" applyAlignment="1">
      <alignment wrapText="1"/>
    </xf>
    <xf numFmtId="0" fontId="6" fillId="0" borderId="15" xfId="1" applyBorder="1" applyAlignment="1"/>
    <xf numFmtId="1" fontId="6" fillId="2" borderId="18" xfId="1" applyNumberFormat="1" applyFill="1" applyBorder="1"/>
    <xf numFmtId="1" fontId="6" fillId="2" borderId="16" xfId="1" applyNumberFormat="1" applyFill="1" applyBorder="1"/>
    <xf numFmtId="1" fontId="6" fillId="4" borderId="18" xfId="1" applyNumberFormat="1" applyFill="1" applyBorder="1" applyAlignment="1">
      <alignment wrapText="1"/>
    </xf>
    <xf numFmtId="1" fontId="6" fillId="20" borderId="18" xfId="1" applyNumberFormat="1" applyFill="1" applyBorder="1" applyAlignment="1">
      <alignment horizontal="center"/>
    </xf>
    <xf numFmtId="1" fontId="6" fillId="20" borderId="16" xfId="1" applyNumberFormat="1" applyFill="1" applyBorder="1" applyAlignment="1">
      <alignment horizontal="center"/>
    </xf>
    <xf numFmtId="1" fontId="116" fillId="2" borderId="18" xfId="1" applyNumberFormat="1" applyFont="1" applyFill="1" applyBorder="1"/>
    <xf numFmtId="1" fontId="116" fillId="2" borderId="16" xfId="1" applyNumberFormat="1" applyFont="1" applyFill="1" applyBorder="1"/>
    <xf numFmtId="1" fontId="6" fillId="2" borderId="16" xfId="1" applyNumberFormat="1" applyFill="1" applyBorder="1" applyAlignment="1">
      <alignment wrapText="1"/>
    </xf>
    <xf numFmtId="1" fontId="6" fillId="21" borderId="18" xfId="1" applyNumberFormat="1" applyFill="1" applyBorder="1" applyAlignment="1">
      <alignment wrapText="1"/>
    </xf>
    <xf numFmtId="1" fontId="116" fillId="22" borderId="12" xfId="1" applyNumberFormat="1" applyFont="1" applyFill="1" applyBorder="1"/>
    <xf numFmtId="1" fontId="116" fillId="22" borderId="11" xfId="1" applyNumberFormat="1" applyFont="1" applyFill="1" applyBorder="1"/>
    <xf numFmtId="1" fontId="116" fillId="22" borderId="9" xfId="1" applyNumberFormat="1" applyFont="1" applyFill="1" applyBorder="1"/>
    <xf numFmtId="1" fontId="6" fillId="20" borderId="9" xfId="1" applyNumberFormat="1" applyFill="1" applyBorder="1" applyAlignment="1">
      <alignment horizontal="center" wrapText="1"/>
    </xf>
    <xf numFmtId="1" fontId="116" fillId="22" borderId="16" xfId="1" applyNumberFormat="1" applyFont="1" applyFill="1" applyBorder="1"/>
    <xf numFmtId="1" fontId="6" fillId="22" borderId="18" xfId="1" applyNumberFormat="1" applyFill="1" applyBorder="1" applyAlignment="1">
      <alignment wrapText="1"/>
    </xf>
    <xf numFmtId="1" fontId="116" fillId="22" borderId="18" xfId="1" applyNumberFormat="1" applyFont="1" applyFill="1" applyBorder="1"/>
    <xf numFmtId="1" fontId="116" fillId="22" borderId="33" xfId="1" applyNumberFormat="1" applyFont="1" applyFill="1" applyBorder="1"/>
    <xf numFmtId="169" fontId="116" fillId="22" borderId="0" xfId="1" applyNumberFormat="1" applyFont="1" applyFill="1" applyBorder="1"/>
    <xf numFmtId="1" fontId="116" fillId="22" borderId="39" xfId="1" applyNumberFormat="1" applyFont="1" applyFill="1" applyBorder="1"/>
    <xf numFmtId="0" fontId="6" fillId="0" borderId="8" xfId="1" applyBorder="1" applyAlignment="1"/>
    <xf numFmtId="1" fontId="6" fillId="2" borderId="11" xfId="1" applyNumberFormat="1" applyFill="1" applyBorder="1" applyAlignment="1">
      <alignment wrapText="1"/>
    </xf>
    <xf numFmtId="1" fontId="6" fillId="2" borderId="9" xfId="1" applyNumberFormat="1" applyFill="1" applyBorder="1" applyAlignment="1">
      <alignment wrapText="1"/>
    </xf>
    <xf numFmtId="0" fontId="6" fillId="0" borderId="42" xfId="1" applyFill="1" applyBorder="1"/>
    <xf numFmtId="0" fontId="6" fillId="0" borderId="0" xfId="1" applyAlignment="1">
      <alignment readingOrder="2"/>
    </xf>
    <xf numFmtId="0" fontId="7" fillId="0" borderId="0" xfId="38" applyFont="1" applyFill="1"/>
    <xf numFmtId="3" fontId="7" fillId="0" borderId="0" xfId="38" applyNumberFormat="1" applyFont="1" applyFill="1"/>
    <xf numFmtId="1" fontId="7" fillId="0" borderId="0" xfId="38" applyNumberFormat="1" applyFont="1" applyFill="1"/>
    <xf numFmtId="3" fontId="118" fillId="21" borderId="108" xfId="38" applyNumberFormat="1" applyFont="1" applyFill="1" applyBorder="1" applyAlignment="1">
      <alignment horizontal="center" vertical="center"/>
    </xf>
    <xf numFmtId="3" fontId="118" fillId="21" borderId="5" xfId="38" applyNumberFormat="1" applyFont="1" applyFill="1" applyBorder="1" applyAlignment="1">
      <alignment horizontal="center" vertical="center"/>
    </xf>
    <xf numFmtId="3" fontId="118" fillId="21" borderId="109" xfId="38" applyNumberFormat="1" applyFont="1" applyFill="1" applyBorder="1" applyAlignment="1">
      <alignment horizontal="center" vertical="center"/>
    </xf>
    <xf numFmtId="169" fontId="12" fillId="0" borderId="18" xfId="38" applyNumberFormat="1" applyFont="1" applyFill="1" applyBorder="1" applyAlignment="1">
      <alignment horizontal="center" vertical="center"/>
    </xf>
    <xf numFmtId="3" fontId="12" fillId="0" borderId="16" xfId="38" applyNumberFormat="1" applyFont="1" applyFill="1" applyBorder="1" applyAlignment="1">
      <alignment horizontal="center" vertical="center"/>
    </xf>
    <xf numFmtId="169" fontId="12" fillId="0" borderId="16" xfId="38" applyNumberFormat="1" applyFont="1" applyFill="1" applyBorder="1" applyAlignment="1">
      <alignment horizontal="center" vertical="center"/>
    </xf>
    <xf numFmtId="3" fontId="12" fillId="2" borderId="16" xfId="38" applyNumberFormat="1" applyFont="1" applyFill="1" applyBorder="1" applyAlignment="1">
      <alignment horizontal="center" vertical="center"/>
    </xf>
    <xf numFmtId="3" fontId="12" fillId="0" borderId="128" xfId="38" applyNumberFormat="1" applyFont="1" applyFill="1" applyBorder="1" applyAlignment="1">
      <alignment horizontal="center" vertical="center"/>
    </xf>
    <xf numFmtId="3" fontId="12" fillId="0" borderId="129" xfId="38" applyNumberFormat="1" applyFont="1" applyFill="1" applyBorder="1" applyAlignment="1">
      <alignment horizontal="center" vertical="center"/>
    </xf>
    <xf numFmtId="3" fontId="12" fillId="2" borderId="130" xfId="38" applyNumberFormat="1" applyFont="1" applyFill="1" applyBorder="1" applyAlignment="1">
      <alignment horizontal="center" vertical="center"/>
    </xf>
    <xf numFmtId="3" fontId="12" fillId="0" borderId="130" xfId="38" applyNumberFormat="1" applyFont="1" applyFill="1" applyBorder="1" applyAlignment="1">
      <alignment horizontal="right" vertical="center" indent="1"/>
    </xf>
    <xf numFmtId="0" fontId="10" fillId="21" borderId="20" xfId="38" applyFont="1" applyFill="1" applyBorder="1" applyAlignment="1">
      <alignment horizontal="center" vertical="center"/>
    </xf>
    <xf numFmtId="169" fontId="12" fillId="0" borderId="28" xfId="38" applyNumberFormat="1" applyFont="1" applyFill="1" applyBorder="1" applyAlignment="1">
      <alignment horizontal="center" vertical="center"/>
    </xf>
    <xf numFmtId="3" fontId="12" fillId="0" borderId="29" xfId="38" applyNumberFormat="1" applyFont="1" applyFill="1" applyBorder="1" applyAlignment="1">
      <alignment horizontal="center" vertical="center"/>
    </xf>
    <xf numFmtId="169" fontId="12" fillId="0" borderId="29" xfId="38" applyNumberFormat="1" applyFont="1" applyFill="1" applyBorder="1" applyAlignment="1">
      <alignment horizontal="center" vertical="center"/>
    </xf>
    <xf numFmtId="3" fontId="12" fillId="2" borderId="29" xfId="38" applyNumberFormat="1" applyFont="1" applyFill="1" applyBorder="1" applyAlignment="1">
      <alignment horizontal="center" vertical="center"/>
    </xf>
    <xf numFmtId="3" fontId="12" fillId="0" borderId="131" xfId="38" applyNumberFormat="1" applyFont="1" applyFill="1" applyBorder="1" applyAlignment="1">
      <alignment horizontal="center" vertical="center"/>
    </xf>
    <xf numFmtId="3" fontId="12" fillId="0" borderId="132" xfId="38" applyNumberFormat="1" applyFont="1" applyFill="1" applyBorder="1" applyAlignment="1">
      <alignment horizontal="right" vertical="center" indent="1"/>
    </xf>
    <xf numFmtId="169" fontId="12" fillId="0" borderId="11" xfId="38" applyNumberFormat="1" applyFont="1" applyFill="1" applyBorder="1" applyAlignment="1">
      <alignment horizontal="center" vertical="center"/>
    </xf>
    <xf numFmtId="3" fontId="12" fillId="0" borderId="9" xfId="38" applyNumberFormat="1" applyFont="1" applyFill="1" applyBorder="1" applyAlignment="1">
      <alignment horizontal="center" vertical="center"/>
    </xf>
    <xf numFmtId="169" fontId="12" fillId="0" borderId="9" xfId="38" applyNumberFormat="1" applyFont="1" applyFill="1" applyBorder="1" applyAlignment="1">
      <alignment horizontal="center" vertical="center"/>
    </xf>
    <xf numFmtId="3" fontId="12" fillId="2" borderId="9" xfId="38" applyNumberFormat="1" applyFont="1" applyFill="1" applyBorder="1" applyAlignment="1">
      <alignment horizontal="center" vertical="center"/>
    </xf>
    <xf numFmtId="3" fontId="12" fillId="0" borderId="133" xfId="38" applyNumberFormat="1" applyFont="1" applyFill="1" applyBorder="1" applyAlignment="1">
      <alignment horizontal="center" vertical="center"/>
    </xf>
    <xf numFmtId="3" fontId="12" fillId="0" borderId="128" xfId="38" applyNumberFormat="1" applyFont="1" applyFill="1" applyBorder="1" applyAlignment="1">
      <alignment horizontal="right" vertical="center" indent="1"/>
    </xf>
    <xf numFmtId="3" fontId="118" fillId="0" borderId="29" xfId="38" applyNumberFormat="1" applyFont="1" applyFill="1" applyBorder="1" applyAlignment="1">
      <alignment horizontal="center" vertical="center"/>
    </xf>
    <xf numFmtId="4" fontId="118" fillId="2" borderId="27" xfId="38" applyNumberFormat="1" applyFont="1" applyFill="1" applyBorder="1" applyAlignment="1">
      <alignment horizontal="center" vertical="center"/>
    </xf>
    <xf numFmtId="3" fontId="118" fillId="0" borderId="131" xfId="38" applyNumberFormat="1" applyFont="1" applyFill="1" applyBorder="1" applyAlignment="1">
      <alignment horizontal="center" vertical="center"/>
    </xf>
    <xf numFmtId="3" fontId="118" fillId="2" borderId="29" xfId="38" applyNumberFormat="1" applyFont="1" applyFill="1" applyBorder="1" applyAlignment="1">
      <alignment horizontal="center" vertical="center"/>
    </xf>
    <xf numFmtId="3" fontId="118" fillId="0" borderId="130" xfId="38" applyNumberFormat="1" applyFont="1" applyFill="1" applyBorder="1" applyAlignment="1">
      <alignment horizontal="center" vertical="center"/>
    </xf>
    <xf numFmtId="3" fontId="118" fillId="0" borderId="16" xfId="38" applyNumberFormat="1" applyFont="1" applyFill="1" applyBorder="1" applyAlignment="1">
      <alignment horizontal="center" vertical="center"/>
    </xf>
    <xf numFmtId="4" fontId="118" fillId="2" borderId="17" xfId="38" applyNumberFormat="1" applyFont="1" applyFill="1" applyBorder="1" applyAlignment="1">
      <alignment horizontal="center" vertical="center"/>
    </xf>
    <xf numFmtId="3" fontId="118" fillId="0" borderId="129" xfId="38" applyNumberFormat="1" applyFont="1" applyFill="1" applyBorder="1" applyAlignment="1">
      <alignment horizontal="center" vertical="center"/>
    </xf>
    <xf numFmtId="3" fontId="118" fillId="2" borderId="16" xfId="38" applyNumberFormat="1" applyFont="1" applyFill="1" applyBorder="1" applyAlignment="1">
      <alignment horizontal="center" vertical="center"/>
    </xf>
    <xf numFmtId="3" fontId="118" fillId="0" borderId="9" xfId="38" applyNumberFormat="1" applyFont="1" applyFill="1" applyBorder="1" applyAlignment="1">
      <alignment horizontal="center" vertical="center"/>
    </xf>
    <xf numFmtId="4" fontId="118" fillId="2" borderId="10" xfId="38" applyNumberFormat="1" applyFont="1" applyFill="1" applyBorder="1" applyAlignment="1">
      <alignment horizontal="center" vertical="center"/>
    </xf>
    <xf numFmtId="3" fontId="118" fillId="0" borderId="133" xfId="38" applyNumberFormat="1" applyFont="1" applyFill="1" applyBorder="1" applyAlignment="1">
      <alignment horizontal="center" vertical="center"/>
    </xf>
    <xf numFmtId="3" fontId="118" fillId="2" borderId="9" xfId="38" applyNumberFormat="1" applyFont="1" applyFill="1" applyBorder="1" applyAlignment="1">
      <alignment horizontal="center" vertical="center"/>
    </xf>
    <xf numFmtId="3" fontId="118" fillId="0" borderId="128" xfId="38" applyNumberFormat="1" applyFont="1" applyFill="1" applyBorder="1" applyAlignment="1">
      <alignment horizontal="center" vertical="center"/>
    </xf>
    <xf numFmtId="4" fontId="7" fillId="0" borderId="0" xfId="38" applyNumberFormat="1" applyFont="1" applyFill="1"/>
    <xf numFmtId="3" fontId="12" fillId="0" borderId="35" xfId="39" applyNumberFormat="1" applyFont="1" applyFill="1" applyBorder="1" applyAlignment="1">
      <alignment horizontal="center" vertical="center"/>
    </xf>
    <xf numFmtId="3" fontId="118" fillId="0" borderId="36" xfId="39" applyNumberFormat="1" applyFont="1" applyFill="1" applyBorder="1" applyAlignment="1">
      <alignment horizontal="center" vertical="center"/>
    </xf>
    <xf numFmtId="0" fontId="12" fillId="0" borderId="29" xfId="38" applyNumberFormat="1" applyFont="1" applyFill="1" applyBorder="1" applyAlignment="1">
      <alignment horizontal="center" vertical="center"/>
    </xf>
    <xf numFmtId="3" fontId="12" fillId="2" borderId="36" xfId="38" applyNumberFormat="1" applyFont="1" applyFill="1" applyBorder="1" applyAlignment="1">
      <alignment horizontal="center" vertical="center"/>
    </xf>
    <xf numFmtId="3" fontId="12" fillId="0" borderId="136" xfId="38" applyNumberFormat="1" applyFont="1" applyFill="1" applyBorder="1" applyAlignment="1">
      <alignment horizontal="center" vertical="center"/>
    </xf>
    <xf numFmtId="3" fontId="12" fillId="0" borderId="116" xfId="38" applyNumberFormat="1" applyFont="1" applyFill="1" applyBorder="1" applyAlignment="1">
      <alignment horizontal="center" vertical="center"/>
    </xf>
    <xf numFmtId="3" fontId="12" fillId="0" borderId="117" xfId="38" applyNumberFormat="1" applyFont="1" applyFill="1" applyBorder="1" applyAlignment="1">
      <alignment horizontal="right" vertical="center" indent="1"/>
    </xf>
    <xf numFmtId="0" fontId="10" fillId="21" borderId="66" xfId="38" applyFont="1" applyFill="1" applyBorder="1" applyAlignment="1">
      <alignment horizontal="center" vertical="center"/>
    </xf>
    <xf numFmtId="3" fontId="12" fillId="0" borderId="50" xfId="39" applyNumberFormat="1" applyFont="1" applyFill="1" applyBorder="1" applyAlignment="1">
      <alignment horizontal="center" vertical="center"/>
    </xf>
    <xf numFmtId="3" fontId="118" fillId="0" borderId="12" xfId="39" applyNumberFormat="1" applyFont="1" applyFill="1" applyBorder="1" applyAlignment="1">
      <alignment horizontal="center" vertical="center"/>
    </xf>
    <xf numFmtId="0" fontId="12" fillId="0" borderId="12" xfId="38" applyNumberFormat="1" applyFont="1" applyFill="1" applyBorder="1" applyAlignment="1">
      <alignment horizontal="center" vertical="center"/>
    </xf>
    <xf numFmtId="3" fontId="12" fillId="2" borderId="12" xfId="38" applyNumberFormat="1" applyFont="1" applyFill="1" applyBorder="1" applyAlignment="1">
      <alignment horizontal="center" vertical="center"/>
    </xf>
    <xf numFmtId="0" fontId="10" fillId="21" borderId="47" xfId="38" applyFont="1" applyFill="1" applyBorder="1" applyAlignment="1">
      <alignment horizontal="center" vertical="center"/>
    </xf>
    <xf numFmtId="3" fontId="12" fillId="0" borderId="18" xfId="39" applyNumberFormat="1" applyFont="1" applyFill="1" applyBorder="1" applyAlignment="1">
      <alignment horizontal="center" vertical="center"/>
    </xf>
    <xf numFmtId="2" fontId="12" fillId="0" borderId="12" xfId="38" applyNumberFormat="1" applyFont="1" applyFill="1" applyBorder="1" applyAlignment="1">
      <alignment horizontal="center" vertical="center"/>
    </xf>
    <xf numFmtId="3" fontId="12" fillId="0" borderId="136" xfId="38" applyNumberFormat="1" applyFont="1" applyFill="1" applyBorder="1" applyAlignment="1">
      <alignment horizontal="right" vertical="center" indent="1"/>
    </xf>
    <xf numFmtId="3" fontId="12" fillId="0" borderId="11" xfId="39" applyNumberFormat="1" applyFont="1" applyFill="1" applyBorder="1" applyAlignment="1">
      <alignment horizontal="center" vertical="center"/>
    </xf>
    <xf numFmtId="3" fontId="118" fillId="0" borderId="9" xfId="39" applyNumberFormat="1" applyFont="1" applyFill="1" applyBorder="1" applyAlignment="1">
      <alignment horizontal="center" vertical="center"/>
    </xf>
    <xf numFmtId="0" fontId="12" fillId="0" borderId="9" xfId="38" applyNumberFormat="1" applyFont="1" applyFill="1" applyBorder="1" applyAlignment="1">
      <alignment horizontal="center" vertical="center"/>
    </xf>
    <xf numFmtId="0" fontId="10" fillId="21" borderId="74" xfId="38" applyFont="1" applyFill="1" applyBorder="1" applyAlignment="1">
      <alignment horizontal="center" vertical="center"/>
    </xf>
    <xf numFmtId="3" fontId="118" fillId="0" borderId="33" xfId="39" applyNumberFormat="1" applyFont="1" applyFill="1" applyBorder="1" applyAlignment="1">
      <alignment horizontal="center" vertical="center"/>
    </xf>
    <xf numFmtId="0" fontId="12" fillId="0" borderId="33" xfId="38" applyNumberFormat="1" applyFont="1" applyFill="1" applyBorder="1" applyAlignment="1">
      <alignment horizontal="center" vertical="center"/>
    </xf>
    <xf numFmtId="3" fontId="12" fillId="0" borderId="137" xfId="38" applyNumberFormat="1" applyFont="1" applyFill="1" applyBorder="1" applyAlignment="1">
      <alignment horizontal="center" vertical="center"/>
    </xf>
    <xf numFmtId="3" fontId="12" fillId="2" borderId="33" xfId="38" applyNumberFormat="1" applyFont="1" applyFill="1" applyBorder="1" applyAlignment="1">
      <alignment horizontal="center" vertical="center"/>
    </xf>
    <xf numFmtId="3" fontId="12" fillId="0" borderId="138" xfId="38" applyNumberFormat="1" applyFont="1" applyFill="1" applyBorder="1" applyAlignment="1">
      <alignment horizontal="right" vertical="center" indent="1"/>
    </xf>
    <xf numFmtId="3" fontId="118" fillId="0" borderId="29" xfId="39" applyNumberFormat="1" applyFont="1" applyFill="1" applyBorder="1" applyAlignment="1">
      <alignment horizontal="center" vertical="center"/>
    </xf>
    <xf numFmtId="3" fontId="12" fillId="0" borderId="61" xfId="39" applyNumberFormat="1" applyFont="1" applyFill="1" applyBorder="1" applyAlignment="1">
      <alignment horizontal="center" vertical="center"/>
    </xf>
    <xf numFmtId="3" fontId="118" fillId="0" borderId="73" xfId="39" applyNumberFormat="1" applyFont="1" applyFill="1" applyBorder="1" applyAlignment="1">
      <alignment horizontal="center" vertical="center"/>
    </xf>
    <xf numFmtId="0" fontId="12" fillId="0" borderId="73" xfId="38" applyNumberFormat="1" applyFont="1" applyFill="1" applyBorder="1" applyAlignment="1">
      <alignment horizontal="center" vertical="center"/>
    </xf>
    <xf numFmtId="3" fontId="12" fillId="2" borderId="73" xfId="38" applyNumberFormat="1" applyFont="1" applyFill="1" applyBorder="1" applyAlignment="1">
      <alignment horizontal="center" vertical="center"/>
    </xf>
    <xf numFmtId="3" fontId="12" fillId="0" borderId="109" xfId="38" applyNumberFormat="1" applyFont="1" applyFill="1" applyBorder="1" applyAlignment="1">
      <alignment horizontal="center" vertical="center"/>
    </xf>
    <xf numFmtId="3" fontId="12" fillId="0" borderId="110" xfId="38" applyNumberFormat="1" applyFont="1" applyFill="1" applyBorder="1" applyAlignment="1">
      <alignment horizontal="center" vertical="center"/>
    </xf>
    <xf numFmtId="3" fontId="12" fillId="0" borderId="111" xfId="38" applyNumberFormat="1" applyFont="1" applyFill="1" applyBorder="1" applyAlignment="1">
      <alignment horizontal="right" vertical="center" indent="1"/>
    </xf>
    <xf numFmtId="0" fontId="10" fillId="21" borderId="46" xfId="38" applyFont="1" applyFill="1" applyBorder="1" applyAlignment="1">
      <alignment horizontal="center" vertical="center"/>
    </xf>
    <xf numFmtId="3" fontId="12" fillId="0" borderId="7" xfId="39" applyNumberFormat="1" applyFont="1" applyFill="1" applyBorder="1" applyAlignment="1">
      <alignment horizontal="center" vertical="center"/>
    </xf>
    <xf numFmtId="3" fontId="118" fillId="0" borderId="5" xfId="39" applyNumberFormat="1" applyFont="1" applyFill="1" applyBorder="1" applyAlignment="1">
      <alignment horizontal="center" vertical="center"/>
    </xf>
    <xf numFmtId="0" fontId="12" fillId="0" borderId="5" xfId="38" applyNumberFormat="1" applyFont="1" applyFill="1" applyBorder="1" applyAlignment="1">
      <alignment horizontal="center" vertical="center"/>
    </xf>
    <xf numFmtId="3" fontId="12" fillId="2" borderId="5" xfId="38" applyNumberFormat="1" applyFont="1" applyFill="1" applyBorder="1" applyAlignment="1">
      <alignment horizontal="center" vertical="center"/>
    </xf>
    <xf numFmtId="3" fontId="12" fillId="0" borderId="108" xfId="38" applyNumberFormat="1" applyFont="1" applyFill="1" applyBorder="1" applyAlignment="1">
      <alignment horizontal="center" vertical="center"/>
    </xf>
    <xf numFmtId="3" fontId="12" fillId="0" borderId="109" xfId="38" applyNumberFormat="1" applyFont="1" applyFill="1" applyBorder="1" applyAlignment="1">
      <alignment horizontal="right" vertical="center" indent="1"/>
    </xf>
    <xf numFmtId="0" fontId="10" fillId="21" borderId="68" xfId="38" applyFont="1" applyFill="1" applyBorder="1" applyAlignment="1">
      <alignment horizontal="center" vertical="center" shrinkToFit="1"/>
    </xf>
    <xf numFmtId="3" fontId="12" fillId="0" borderId="117" xfId="38" applyNumberFormat="1" applyFont="1" applyFill="1" applyBorder="1" applyAlignment="1">
      <alignment horizontal="center" vertical="center"/>
    </xf>
    <xf numFmtId="3" fontId="12" fillId="0" borderId="119" xfId="38" applyNumberFormat="1" applyFont="1" applyFill="1" applyBorder="1" applyAlignment="1">
      <alignment horizontal="center" vertical="center"/>
    </xf>
    <xf numFmtId="0" fontId="12" fillId="0" borderId="16" xfId="38" applyNumberFormat="1" applyFont="1" applyFill="1" applyBorder="1" applyAlignment="1">
      <alignment horizontal="center" vertical="center"/>
    </xf>
    <xf numFmtId="2" fontId="12" fillId="0" borderId="9" xfId="38" applyNumberFormat="1" applyFont="1" applyFill="1" applyBorder="1" applyAlignment="1">
      <alignment horizontal="center" vertical="center"/>
    </xf>
    <xf numFmtId="3" fontId="12" fillId="2" borderId="39" xfId="38" applyNumberFormat="1" applyFont="1" applyFill="1" applyBorder="1" applyAlignment="1">
      <alignment vertical="center"/>
    </xf>
    <xf numFmtId="3" fontId="12" fillId="0" borderId="139" xfId="38" applyNumberFormat="1" applyFont="1" applyFill="1" applyBorder="1" applyAlignment="1">
      <alignment vertical="center"/>
    </xf>
    <xf numFmtId="0" fontId="10" fillId="21" borderId="108" xfId="38" applyFont="1" applyFill="1" applyBorder="1" applyAlignment="1">
      <alignment horizontal="center" vertical="center" wrapText="1"/>
    </xf>
    <xf numFmtId="0" fontId="10" fillId="21" borderId="5" xfId="38" applyFont="1" applyFill="1" applyBorder="1" applyAlignment="1">
      <alignment horizontal="center" vertical="center" wrapText="1"/>
    </xf>
    <xf numFmtId="0" fontId="10" fillId="21" borderId="109" xfId="38" applyFont="1" applyFill="1" applyBorder="1" applyAlignment="1">
      <alignment horizontal="center" vertical="center" wrapText="1"/>
    </xf>
    <xf numFmtId="0" fontId="119" fillId="2" borderId="58" xfId="1" applyFont="1" applyFill="1" applyBorder="1" applyAlignment="1">
      <alignment horizontal="center" vertical="center"/>
    </xf>
    <xf numFmtId="0" fontId="119" fillId="2" borderId="44" xfId="1" applyFont="1" applyFill="1" applyBorder="1" applyAlignment="1">
      <alignment horizontal="center" vertical="center"/>
    </xf>
    <xf numFmtId="0" fontId="119" fillId="2" borderId="7" xfId="1" applyFont="1" applyFill="1" applyBorder="1" applyAlignment="1">
      <alignment horizontal="center" vertical="center"/>
    </xf>
    <xf numFmtId="0" fontId="119" fillId="2" borderId="68" xfId="5" applyFont="1" applyFill="1" applyBorder="1" applyAlignment="1">
      <alignment horizontal="center" vertical="center"/>
    </xf>
    <xf numFmtId="0" fontId="119" fillId="2" borderId="37" xfId="5" applyFont="1" applyFill="1" applyBorder="1" applyAlignment="1">
      <alignment horizontal="center" vertical="center"/>
    </xf>
    <xf numFmtId="0" fontId="119" fillId="2" borderId="25" xfId="5" applyFont="1" applyFill="1" applyBorder="1" applyAlignment="1">
      <alignment horizontal="center" vertical="center"/>
    </xf>
    <xf numFmtId="0" fontId="119" fillId="2" borderId="7" xfId="5" applyFont="1" applyFill="1" applyBorder="1" applyAlignment="1">
      <alignment horizontal="center" vertical="center"/>
    </xf>
    <xf numFmtId="0" fontId="119" fillId="2" borderId="58" xfId="5" applyFont="1" applyFill="1" applyBorder="1" applyAlignment="1">
      <alignment horizontal="center" vertical="center"/>
    </xf>
    <xf numFmtId="0" fontId="119" fillId="2" borderId="57" xfId="5" applyFont="1" applyFill="1" applyBorder="1" applyAlignment="1">
      <alignment horizontal="center" vertical="center"/>
    </xf>
    <xf numFmtId="0" fontId="119" fillId="2" borderId="41" xfId="5" applyFont="1" applyFill="1" applyBorder="1" applyAlignment="1">
      <alignment horizontal="center" vertical="center"/>
    </xf>
    <xf numFmtId="0" fontId="76" fillId="0" borderId="75" xfId="5" applyFont="1" applyFill="1" applyBorder="1" applyAlignment="1">
      <alignment horizontal="center" vertical="center"/>
    </xf>
    <xf numFmtId="1" fontId="76" fillId="0" borderId="73" xfId="40" applyNumberFormat="1" applyFont="1" applyFill="1" applyBorder="1" applyAlignment="1">
      <alignment horizontal="center" vertical="center"/>
    </xf>
    <xf numFmtId="0" fontId="76" fillId="0" borderId="65" xfId="40" applyFont="1" applyFill="1" applyBorder="1" applyAlignment="1">
      <alignment horizontal="center" vertical="center"/>
    </xf>
    <xf numFmtId="0" fontId="76" fillId="2" borderId="35" xfId="40" applyFont="1" applyFill="1" applyBorder="1" applyAlignment="1">
      <alignment horizontal="center" vertical="center"/>
    </xf>
    <xf numFmtId="0" fontId="76" fillId="2" borderId="37" xfId="40" applyFont="1" applyFill="1" applyBorder="1" applyAlignment="1">
      <alignment horizontal="center" vertical="center"/>
    </xf>
    <xf numFmtId="0" fontId="76" fillId="2" borderId="37" xfId="5" applyFont="1" applyFill="1" applyBorder="1" applyAlignment="1">
      <alignment horizontal="center" vertical="center"/>
    </xf>
    <xf numFmtId="0" fontId="76" fillId="2" borderId="25" xfId="5" applyFont="1" applyFill="1" applyBorder="1" applyAlignment="1">
      <alignment horizontal="center" vertical="center"/>
    </xf>
    <xf numFmtId="0" fontId="76" fillId="2" borderId="35" xfId="5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0" fontId="76" fillId="2" borderId="36" xfId="5" applyFont="1" applyFill="1" applyBorder="1" applyAlignment="1">
      <alignment horizontal="center" vertical="center"/>
    </xf>
    <xf numFmtId="0" fontId="76" fillId="2" borderId="46" xfId="5" applyFont="1" applyFill="1" applyBorder="1" applyAlignment="1">
      <alignment horizontal="center" vertical="center"/>
    </xf>
    <xf numFmtId="0" fontId="76" fillId="2" borderId="75" xfId="5" applyFont="1" applyFill="1" applyBorder="1" applyAlignment="1">
      <alignment horizontal="center" vertical="center"/>
    </xf>
    <xf numFmtId="0" fontId="76" fillId="0" borderId="73" xfId="40" applyFont="1" applyFill="1" applyBorder="1" applyAlignment="1">
      <alignment horizontal="center" vertical="center"/>
    </xf>
    <xf numFmtId="0" fontId="76" fillId="2" borderId="61" xfId="40" applyFont="1" applyFill="1" applyBorder="1" applyAlignment="1">
      <alignment horizontal="center" vertical="center"/>
    </xf>
    <xf numFmtId="0" fontId="76" fillId="2" borderId="42" xfId="40" applyFont="1" applyFill="1" applyBorder="1" applyAlignment="1">
      <alignment horizontal="center" vertical="center"/>
    </xf>
    <xf numFmtId="0" fontId="76" fillId="2" borderId="73" xfId="40" applyFont="1" applyFill="1" applyBorder="1" applyAlignment="1">
      <alignment horizontal="center" vertical="center"/>
    </xf>
    <xf numFmtId="0" fontId="119" fillId="2" borderId="42" xfId="5" applyFont="1" applyFill="1" applyBorder="1" applyAlignment="1">
      <alignment horizontal="center" vertical="center"/>
    </xf>
    <xf numFmtId="0" fontId="119" fillId="2" borderId="46" xfId="5" applyFont="1" applyFill="1" applyBorder="1" applyAlignment="1">
      <alignment horizontal="center" vertical="center"/>
    </xf>
    <xf numFmtId="0" fontId="76" fillId="2" borderId="61" xfId="5" applyFont="1" applyFill="1" applyBorder="1" applyAlignment="1">
      <alignment horizontal="center" vertical="center"/>
    </xf>
    <xf numFmtId="0" fontId="76" fillId="2" borderId="73" xfId="5" applyFont="1" applyFill="1" applyBorder="1" applyAlignment="1">
      <alignment horizontal="center" vertical="center"/>
    </xf>
    <xf numFmtId="0" fontId="76" fillId="2" borderId="42" xfId="5" applyFont="1" applyFill="1" applyBorder="1" applyAlignment="1">
      <alignment horizontal="center" vertical="center"/>
    </xf>
    <xf numFmtId="0" fontId="76" fillId="2" borderId="72" xfId="40" applyFont="1" applyFill="1" applyBorder="1" applyAlignment="1">
      <alignment horizontal="center" vertical="center"/>
    </xf>
    <xf numFmtId="0" fontId="76" fillId="2" borderId="65" xfId="5" applyFont="1" applyFill="1" applyBorder="1" applyAlignment="1">
      <alignment horizontal="center" vertical="center"/>
    </xf>
    <xf numFmtId="0" fontId="76" fillId="0" borderId="73" xfId="5" applyFont="1" applyFill="1" applyBorder="1" applyAlignment="1">
      <alignment horizontal="center" vertical="center"/>
    </xf>
    <xf numFmtId="0" fontId="76" fillId="0" borderId="0" xfId="5" applyFont="1" applyFill="1" applyBorder="1" applyAlignment="1">
      <alignment horizontal="center" vertical="center"/>
    </xf>
    <xf numFmtId="0" fontId="76" fillId="2" borderId="4" xfId="40" applyFont="1" applyFill="1" applyBorder="1" applyAlignment="1">
      <alignment horizontal="center" vertical="center"/>
    </xf>
    <xf numFmtId="0" fontId="76" fillId="2" borderId="40" xfId="40" applyFont="1" applyFill="1" applyBorder="1" applyAlignment="1">
      <alignment horizontal="center" vertical="center"/>
    </xf>
    <xf numFmtId="0" fontId="76" fillId="2" borderId="39" xfId="40" applyFont="1" applyFill="1" applyBorder="1" applyAlignment="1">
      <alignment horizontal="center" vertical="center"/>
    </xf>
    <xf numFmtId="0" fontId="119" fillId="2" borderId="40" xfId="5" applyFont="1" applyFill="1" applyBorder="1" applyAlignment="1">
      <alignment horizontal="center" vertical="center"/>
    </xf>
    <xf numFmtId="0" fontId="119" fillId="2" borderId="2" xfId="5" applyFont="1" applyFill="1" applyBorder="1" applyAlignment="1">
      <alignment horizontal="center" vertical="center"/>
    </xf>
    <xf numFmtId="0" fontId="76" fillId="2" borderId="4" xfId="5" applyFont="1" applyFill="1" applyBorder="1" applyAlignment="1">
      <alignment horizontal="center" vertical="center"/>
    </xf>
    <xf numFmtId="0" fontId="76" fillId="2" borderId="39" xfId="5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35" xfId="5" applyFont="1" applyFill="1" applyBorder="1" applyAlignment="1">
      <alignment horizontal="center" vertical="center" wrapText="1"/>
    </xf>
    <xf numFmtId="0" fontId="10" fillId="2" borderId="25" xfId="5" applyFont="1" applyFill="1" applyBorder="1" applyAlignment="1">
      <alignment horizontal="center" vertical="center" wrapText="1"/>
    </xf>
    <xf numFmtId="0" fontId="10" fillId="2" borderId="37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0" fillId="2" borderId="28" xfId="5" applyFont="1" applyFill="1" applyBorder="1" applyAlignment="1">
      <alignment horizontal="center" vertical="center" wrapText="1"/>
    </xf>
    <xf numFmtId="0" fontId="10" fillId="2" borderId="53" xfId="5" applyFont="1" applyFill="1" applyBorder="1" applyAlignment="1">
      <alignment horizontal="center" vertical="center" wrapText="1"/>
    </xf>
    <xf numFmtId="1" fontId="9" fillId="0" borderId="28" xfId="5" applyNumberFormat="1" applyFont="1" applyFill="1" applyBorder="1" applyAlignment="1">
      <alignment horizontal="center" vertical="center"/>
    </xf>
    <xf numFmtId="1" fontId="9" fillId="0" borderId="29" xfId="5" applyNumberFormat="1" applyFont="1" applyFill="1" applyBorder="1" applyAlignment="1">
      <alignment horizontal="center" vertical="center"/>
    </xf>
    <xf numFmtId="1" fontId="9" fillId="2" borderId="29" xfId="5" applyNumberFormat="1" applyFont="1" applyFill="1" applyBorder="1" applyAlignment="1">
      <alignment horizontal="center" vertical="center"/>
    </xf>
    <xf numFmtId="0" fontId="9" fillId="2" borderId="67" xfId="5" applyFont="1" applyFill="1" applyBorder="1" applyAlignment="1">
      <alignment horizontal="center" vertical="center"/>
    </xf>
    <xf numFmtId="1" fontId="7" fillId="0" borderId="0" xfId="5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1" fontId="9" fillId="0" borderId="18" xfId="5" applyNumberFormat="1" applyFont="1" applyFill="1" applyBorder="1" applyAlignment="1">
      <alignment horizontal="center" vertical="center"/>
    </xf>
    <xf numFmtId="1" fontId="9" fillId="0" borderId="16" xfId="5" applyNumberFormat="1" applyFont="1" applyFill="1" applyBorder="1" applyAlignment="1">
      <alignment horizontal="center" vertical="center"/>
    </xf>
    <xf numFmtId="1" fontId="9" fillId="2" borderId="16" xfId="5" applyNumberFormat="1" applyFont="1" applyFill="1" applyBorder="1" applyAlignment="1">
      <alignment horizontal="center" vertical="center"/>
    </xf>
    <xf numFmtId="0" fontId="9" fillId="2" borderId="22" xfId="5" applyFont="1" applyFill="1" applyBorder="1" applyAlignment="1">
      <alignment horizontal="center" vertical="center"/>
    </xf>
    <xf numFmtId="1" fontId="9" fillId="0" borderId="11" xfId="5" applyNumberFormat="1" applyFont="1" applyFill="1" applyBorder="1" applyAlignment="1">
      <alignment horizontal="center" vertical="center"/>
    </xf>
    <xf numFmtId="1" fontId="9" fillId="0" borderId="9" xfId="5" applyNumberFormat="1" applyFont="1" applyFill="1" applyBorder="1" applyAlignment="1">
      <alignment horizontal="center" vertical="center"/>
    </xf>
    <xf numFmtId="1" fontId="9" fillId="2" borderId="9" xfId="5" applyNumberFormat="1" applyFont="1" applyFill="1" applyBorder="1" applyAlignment="1">
      <alignment horizontal="center" vertical="center"/>
    </xf>
    <xf numFmtId="0" fontId="9" fillId="2" borderId="63" xfId="5" applyFont="1" applyFill="1" applyBorder="1" applyAlignment="1">
      <alignment horizontal="center" vertical="center"/>
    </xf>
    <xf numFmtId="0" fontId="23" fillId="0" borderId="7" xfId="5" applyFont="1" applyFill="1" applyBorder="1" applyAlignment="1">
      <alignment horizontal="center" vertical="center"/>
    </xf>
    <xf numFmtId="0" fontId="23" fillId="0" borderId="6" xfId="5" applyFont="1" applyFill="1" applyBorder="1" applyAlignment="1">
      <alignment horizontal="center" vertical="center"/>
    </xf>
    <xf numFmtId="0" fontId="23" fillId="0" borderId="60" xfId="5" applyFont="1" applyFill="1" applyBorder="1" applyAlignment="1">
      <alignment horizontal="center" vertical="center" wrapText="1"/>
    </xf>
    <xf numFmtId="0" fontId="23" fillId="0" borderId="41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6" fillId="0" borderId="0" xfId="5" applyFont="1" applyFill="1" applyAlignment="1">
      <alignment vertical="center"/>
    </xf>
    <xf numFmtId="0" fontId="26" fillId="0" borderId="0" xfId="5" applyFont="1" applyFill="1" applyBorder="1" applyAlignment="1">
      <alignment vertical="center"/>
    </xf>
    <xf numFmtId="0" fontId="10" fillId="0" borderId="0" xfId="5" applyFont="1" applyFill="1"/>
    <xf numFmtId="0" fontId="10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right"/>
    </xf>
    <xf numFmtId="0" fontId="7" fillId="0" borderId="3" xfId="5" applyFont="1" applyFill="1" applyBorder="1" applyAlignment="1">
      <alignment horizontal="right"/>
    </xf>
    <xf numFmtId="0" fontId="47" fillId="0" borderId="57" xfId="5" applyFont="1" applyFill="1" applyBorder="1" applyAlignment="1">
      <alignment horizontal="center" vertical="center"/>
    </xf>
    <xf numFmtId="0" fontId="47" fillId="0" borderId="4" xfId="5" applyFont="1" applyFill="1" applyBorder="1" applyAlignment="1">
      <alignment horizontal="center" vertical="center"/>
    </xf>
    <xf numFmtId="0" fontId="47" fillId="0" borderId="68" xfId="5" applyFont="1" applyFill="1" applyBorder="1" applyAlignment="1">
      <alignment horizontal="center" vertical="center"/>
    </xf>
    <xf numFmtId="1" fontId="122" fillId="0" borderId="0" xfId="5" applyNumberFormat="1" applyFont="1" applyFill="1" applyBorder="1" applyAlignment="1">
      <alignment horizontal="center" vertical="center"/>
    </xf>
    <xf numFmtId="0" fontId="27" fillId="0" borderId="0" xfId="5" applyFont="1" applyFill="1" applyBorder="1"/>
    <xf numFmtId="0" fontId="123" fillId="0" borderId="0" xfId="5" applyFont="1" applyFill="1" applyBorder="1" applyAlignment="1">
      <alignment vertical="center" wrapText="1"/>
    </xf>
    <xf numFmtId="0" fontId="23" fillId="0" borderId="0" xfId="5" applyFont="1" applyFill="1" applyBorder="1" applyAlignment="1">
      <alignment vertical="center"/>
    </xf>
    <xf numFmtId="0" fontId="17" fillId="0" borderId="24" xfId="5" applyFont="1" applyFill="1" applyBorder="1" applyAlignment="1">
      <alignment horizontal="center" vertical="center"/>
    </xf>
    <xf numFmtId="0" fontId="47" fillId="0" borderId="72" xfId="5" applyFont="1" applyFill="1" applyBorder="1" applyAlignment="1">
      <alignment horizontal="center" vertical="center"/>
    </xf>
    <xf numFmtId="0" fontId="17" fillId="0" borderId="65" xfId="5" applyFont="1" applyFill="1" applyBorder="1" applyAlignment="1">
      <alignment horizontal="center" vertical="center"/>
    </xf>
    <xf numFmtId="0" fontId="17" fillId="0" borderId="63" xfId="5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right" vertical="center" indent="3"/>
    </xf>
    <xf numFmtId="0" fontId="12" fillId="0" borderId="58" xfId="5" applyFont="1" applyFill="1" applyBorder="1" applyAlignment="1">
      <alignment horizontal="center" vertical="center"/>
    </xf>
    <xf numFmtId="0" fontId="12" fillId="0" borderId="44" xfId="5" applyFont="1" applyFill="1" applyBorder="1" applyAlignment="1">
      <alignment horizontal="center" vertical="center"/>
    </xf>
    <xf numFmtId="0" fontId="12" fillId="0" borderId="60" xfId="5" applyFont="1" applyFill="1" applyBorder="1" applyAlignment="1">
      <alignment horizontal="center" vertical="center"/>
    </xf>
    <xf numFmtId="0" fontId="12" fillId="0" borderId="59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75" xfId="5" applyFont="1" applyFill="1" applyBorder="1" applyAlignment="1">
      <alignment horizontal="center" vertical="center"/>
    </xf>
    <xf numFmtId="0" fontId="12" fillId="0" borderId="71" xfId="5" applyFont="1" applyFill="1" applyBorder="1" applyAlignment="1">
      <alignment horizontal="center" vertical="center"/>
    </xf>
    <xf numFmtId="0" fontId="10" fillId="0" borderId="58" xfId="5" applyFont="1" applyFill="1" applyBorder="1" applyAlignment="1">
      <alignment horizontal="center" vertical="center"/>
    </xf>
    <xf numFmtId="0" fontId="10" fillId="0" borderId="60" xfId="5" applyFont="1" applyFill="1" applyBorder="1" applyAlignment="1">
      <alignment horizontal="center" vertical="center"/>
    </xf>
    <xf numFmtId="174" fontId="23" fillId="0" borderId="0" xfId="1" applyNumberFormat="1" applyFont="1" applyFill="1" applyBorder="1" applyAlignment="1">
      <alignment horizontal="center" vertical="center"/>
    </xf>
    <xf numFmtId="0" fontId="12" fillId="0" borderId="35" xfId="5" applyFont="1" applyFill="1" applyBorder="1" applyAlignment="1">
      <alignment horizontal="center" vertical="center"/>
    </xf>
    <xf numFmtId="0" fontId="12" fillId="0" borderId="61" xfId="5" applyFont="1" applyFill="1" applyBorder="1" applyAlignment="1">
      <alignment horizontal="center" vertical="center"/>
    </xf>
    <xf numFmtId="174" fontId="12" fillId="0" borderId="69" xfId="5" applyNumberFormat="1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center"/>
    </xf>
    <xf numFmtId="0" fontId="23" fillId="0" borderId="28" xfId="5" applyFont="1" applyFill="1" applyBorder="1" applyAlignment="1">
      <alignment horizontal="center" vertical="center"/>
    </xf>
    <xf numFmtId="0" fontId="59" fillId="0" borderId="44" xfId="5" applyFont="1" applyFill="1" applyBorder="1" applyAlignment="1">
      <alignment horizontal="center" vertical="center" readingOrder="2"/>
    </xf>
    <xf numFmtId="0" fontId="59" fillId="2" borderId="68" xfId="5" applyFont="1" applyFill="1" applyBorder="1" applyAlignment="1">
      <alignment horizontal="center" vertical="center" readingOrder="2"/>
    </xf>
    <xf numFmtId="0" fontId="59" fillId="0" borderId="70" xfId="5" applyFont="1" applyFill="1" applyBorder="1" applyAlignment="1">
      <alignment horizontal="center" vertical="center" readingOrder="2"/>
    </xf>
    <xf numFmtId="0" fontId="59" fillId="2" borderId="34" xfId="5" applyFont="1" applyFill="1" applyBorder="1" applyAlignment="1">
      <alignment horizontal="center" vertical="center" readingOrder="2"/>
    </xf>
    <xf numFmtId="0" fontId="59" fillId="2" borderId="33" xfId="5" applyFont="1" applyFill="1" applyBorder="1" applyAlignment="1">
      <alignment horizontal="center" vertical="center" readingOrder="2"/>
    </xf>
    <xf numFmtId="0" fontId="59" fillId="2" borderId="24" xfId="5" applyFont="1" applyFill="1" applyBorder="1" applyAlignment="1">
      <alignment horizontal="center" vertical="center" readingOrder="2"/>
    </xf>
    <xf numFmtId="0" fontId="49" fillId="0" borderId="30" xfId="5" applyFont="1" applyFill="1" applyBorder="1" applyAlignment="1">
      <alignment horizontal="center" vertical="center" readingOrder="2"/>
    </xf>
    <xf numFmtId="0" fontId="57" fillId="0" borderId="23" xfId="5" applyFont="1" applyFill="1" applyBorder="1" applyAlignment="1">
      <alignment horizontal="center" vertical="center" readingOrder="2"/>
    </xf>
    <xf numFmtId="0" fontId="59" fillId="0" borderId="19" xfId="5" applyFont="1" applyFill="1" applyBorder="1" applyAlignment="1">
      <alignment horizontal="center" vertical="center" readingOrder="2"/>
    </xf>
    <xf numFmtId="0" fontId="59" fillId="2" borderId="17" xfId="5" applyFont="1" applyFill="1" applyBorder="1" applyAlignment="1">
      <alignment horizontal="center" vertical="center" readingOrder="2"/>
    </xf>
    <xf numFmtId="0" fontId="59" fillId="2" borderId="16" xfId="5" applyFont="1" applyFill="1" applyBorder="1" applyAlignment="1">
      <alignment horizontal="center" vertical="center" readingOrder="2"/>
    </xf>
    <xf numFmtId="0" fontId="59" fillId="2" borderId="22" xfId="5" applyFont="1" applyFill="1" applyBorder="1" applyAlignment="1">
      <alignment horizontal="center" vertical="center" readingOrder="2"/>
    </xf>
    <xf numFmtId="0" fontId="49" fillId="0" borderId="19" xfId="5" applyFont="1" applyFill="1" applyBorder="1" applyAlignment="1">
      <alignment horizontal="center" vertical="center" readingOrder="2"/>
    </xf>
    <xf numFmtId="0" fontId="57" fillId="0" borderId="20" xfId="5" applyFont="1" applyFill="1" applyBorder="1" applyAlignment="1">
      <alignment horizontal="center" vertical="center" readingOrder="2"/>
    </xf>
    <xf numFmtId="0" fontId="59" fillId="0" borderId="56" xfId="5" applyFont="1" applyFill="1" applyBorder="1" applyAlignment="1">
      <alignment horizontal="center" vertical="center" readingOrder="2"/>
    </xf>
    <xf numFmtId="0" fontId="59" fillId="2" borderId="13" xfId="5" applyFont="1" applyFill="1" applyBorder="1" applyAlignment="1">
      <alignment horizontal="center" vertical="center" readingOrder="2"/>
    </xf>
    <xf numFmtId="0" fontId="59" fillId="2" borderId="12" xfId="5" applyFont="1" applyFill="1" applyBorder="1" applyAlignment="1">
      <alignment horizontal="center" vertical="center" readingOrder="2"/>
    </xf>
    <xf numFmtId="0" fontId="59" fillId="2" borderId="55" xfId="5" applyFont="1" applyFill="1" applyBorder="1" applyAlignment="1">
      <alignment horizontal="center" vertical="center" readingOrder="2"/>
    </xf>
    <xf numFmtId="0" fontId="49" fillId="0" borderId="56" xfId="5" applyFont="1" applyFill="1" applyBorder="1" applyAlignment="1">
      <alignment horizontal="center" vertical="center" readingOrder="2"/>
    </xf>
    <xf numFmtId="0" fontId="57" fillId="0" borderId="47" xfId="5" applyFont="1" applyFill="1" applyBorder="1" applyAlignment="1">
      <alignment horizontal="center" vertical="center" readingOrder="2"/>
    </xf>
    <xf numFmtId="0" fontId="49" fillId="0" borderId="44" xfId="5" applyFont="1" applyFill="1" applyBorder="1" applyAlignment="1">
      <alignment horizontal="center" vertical="center" readingOrder="2"/>
    </xf>
    <xf numFmtId="0" fontId="49" fillId="0" borderId="6" xfId="5" applyFont="1" applyFill="1" applyBorder="1" applyAlignment="1">
      <alignment horizontal="center" vertical="center" readingOrder="2"/>
    </xf>
    <xf numFmtId="0" fontId="49" fillId="0" borderId="5" xfId="5" applyFont="1" applyFill="1" applyBorder="1" applyAlignment="1">
      <alignment horizontal="center" vertical="center" readingOrder="2"/>
    </xf>
    <xf numFmtId="0" fontId="49" fillId="0" borderId="60" xfId="5" applyFont="1" applyFill="1" applyBorder="1" applyAlignment="1">
      <alignment horizontal="center" vertical="center" readingOrder="2"/>
    </xf>
    <xf numFmtId="0" fontId="49" fillId="0" borderId="68" xfId="5" applyFont="1" applyFill="1" applyBorder="1" applyAlignment="1">
      <alignment horizontal="center" vertical="center" readingOrder="2"/>
    </xf>
    <xf numFmtId="0" fontId="4" fillId="0" borderId="0" xfId="41"/>
    <xf numFmtId="0" fontId="128" fillId="0" borderId="51" xfId="42" applyFont="1" applyFill="1" applyBorder="1" applyAlignment="1">
      <alignment horizontal="center" vertical="center" wrapText="1" readingOrder="2"/>
    </xf>
    <xf numFmtId="0" fontId="17" fillId="0" borderId="87" xfId="42" applyFont="1" applyFill="1" applyBorder="1" applyAlignment="1">
      <alignment horizontal="center" vertical="center" wrapText="1" readingOrder="2"/>
    </xf>
    <xf numFmtId="0" fontId="128" fillId="2" borderId="49" xfId="42" applyFont="1" applyFill="1" applyBorder="1" applyAlignment="1">
      <alignment horizontal="center" vertical="center" wrapText="1" readingOrder="2"/>
    </xf>
    <xf numFmtId="0" fontId="128" fillId="2" borderId="87" xfId="42" applyFont="1" applyFill="1" applyBorder="1" applyAlignment="1">
      <alignment horizontal="center" vertical="center" wrapText="1" readingOrder="2"/>
    </xf>
    <xf numFmtId="0" fontId="128" fillId="0" borderId="49" xfId="42" applyFont="1" applyFill="1" applyBorder="1" applyAlignment="1">
      <alignment horizontal="center" vertical="center" wrapText="1" readingOrder="2"/>
    </xf>
    <xf numFmtId="0" fontId="128" fillId="2" borderId="51" xfId="42" applyFont="1" applyFill="1" applyBorder="1" applyAlignment="1">
      <alignment horizontal="center" vertical="center" wrapText="1" readingOrder="2"/>
    </xf>
    <xf numFmtId="0" fontId="128" fillId="0" borderId="87" xfId="42" applyFont="1" applyFill="1" applyBorder="1" applyAlignment="1">
      <alignment horizontal="center" vertical="center" wrapText="1" readingOrder="2"/>
    </xf>
    <xf numFmtId="0" fontId="128" fillId="0" borderId="69" xfId="42" applyFont="1" applyFill="1" applyBorder="1" applyAlignment="1">
      <alignment horizontal="center" vertical="center" wrapText="1" readingOrder="2"/>
    </xf>
    <xf numFmtId="0" fontId="129" fillId="0" borderId="7" xfId="42" applyFont="1" applyFill="1" applyBorder="1" applyAlignment="1">
      <alignment horizontal="center" vertical="center" wrapText="1" readingOrder="2"/>
    </xf>
    <xf numFmtId="0" fontId="129" fillId="2" borderId="41" xfId="42" applyFont="1" applyFill="1" applyBorder="1" applyAlignment="1">
      <alignment horizontal="center" vertical="center" wrapText="1" readingOrder="2"/>
    </xf>
    <xf numFmtId="0" fontId="129" fillId="0" borderId="6" xfId="42" applyFont="1" applyFill="1" applyBorder="1" applyAlignment="1">
      <alignment horizontal="center" vertical="center" wrapText="1" readingOrder="2"/>
    </xf>
    <xf numFmtId="0" fontId="127" fillId="0" borderId="41" xfId="42" applyFont="1" applyFill="1" applyBorder="1" applyAlignment="1">
      <alignment horizontal="center" vertical="center" wrapText="1" readingOrder="2"/>
    </xf>
    <xf numFmtId="0" fontId="132" fillId="0" borderId="0" xfId="42" applyFont="1" applyFill="1" applyAlignment="1">
      <alignment horizontal="center" vertical="center"/>
    </xf>
    <xf numFmtId="0" fontId="133" fillId="0" borderId="0" xfId="42" applyFont="1" applyFill="1" applyAlignment="1">
      <alignment horizontal="center" vertical="center"/>
    </xf>
    <xf numFmtId="3" fontId="133" fillId="0" borderId="0" xfId="42" applyNumberFormat="1" applyFont="1" applyFill="1" applyAlignment="1">
      <alignment horizontal="center" vertical="center"/>
    </xf>
    <xf numFmtId="0" fontId="13" fillId="0" borderId="0" xfId="43" applyNumberFormat="1"/>
    <xf numFmtId="0" fontId="13" fillId="0" borderId="0" xfId="43" applyAlignment="1">
      <alignment horizontal="left"/>
    </xf>
    <xf numFmtId="0" fontId="134" fillId="0" borderId="0" xfId="42" applyFont="1" applyFill="1" applyAlignment="1">
      <alignment horizontal="center" vertical="center"/>
    </xf>
    <xf numFmtId="0" fontId="134" fillId="0" borderId="0" xfId="42" applyFont="1" applyFill="1" applyBorder="1" applyAlignment="1">
      <alignment horizontal="right" vertical="center"/>
    </xf>
    <xf numFmtId="3" fontId="132" fillId="0" borderId="0" xfId="42" applyNumberFormat="1" applyFont="1" applyFill="1" applyAlignment="1">
      <alignment horizontal="center" vertical="center"/>
    </xf>
    <xf numFmtId="3" fontId="135" fillId="24" borderId="57" xfId="5" applyNumberFormat="1" applyFont="1" applyFill="1" applyBorder="1" applyAlignment="1">
      <alignment horizontal="center" vertical="center" wrapText="1"/>
    </xf>
    <xf numFmtId="3" fontId="135" fillId="0" borderId="28" xfId="5" applyNumberFormat="1" applyFont="1" applyFill="1" applyBorder="1" applyAlignment="1">
      <alignment horizontal="center" vertical="center" wrapText="1"/>
    </xf>
    <xf numFmtId="3" fontId="135" fillId="0" borderId="29" xfId="5" applyNumberFormat="1" applyFont="1" applyFill="1" applyBorder="1" applyAlignment="1">
      <alignment horizontal="center" vertical="center" wrapText="1"/>
    </xf>
    <xf numFmtId="3" fontId="135" fillId="0" borderId="67" xfId="5" applyNumberFormat="1" applyFont="1" applyFill="1" applyBorder="1" applyAlignment="1">
      <alignment horizontal="center" vertical="center" wrapText="1"/>
    </xf>
    <xf numFmtId="3" fontId="135" fillId="21" borderId="30" xfId="5" applyNumberFormat="1" applyFont="1" applyFill="1" applyBorder="1" applyAlignment="1">
      <alignment horizontal="center" vertical="center" wrapText="1"/>
    </xf>
    <xf numFmtId="3" fontId="135" fillId="21" borderId="23" xfId="44" applyNumberFormat="1" applyFont="1" applyFill="1" applyBorder="1" applyAlignment="1">
      <alignment horizontal="center" vertical="center" wrapText="1"/>
    </xf>
    <xf numFmtId="3" fontId="135" fillId="0" borderId="18" xfId="5" applyNumberFormat="1" applyFont="1" applyFill="1" applyBorder="1" applyAlignment="1">
      <alignment horizontal="center" vertical="center" wrapText="1"/>
    </xf>
    <xf numFmtId="3" fontId="135" fillId="0" borderId="16" xfId="5" applyNumberFormat="1" applyFont="1" applyFill="1" applyBorder="1" applyAlignment="1">
      <alignment horizontal="center" vertical="center" wrapText="1"/>
    </xf>
    <xf numFmtId="3" fontId="135" fillId="0" borderId="22" xfId="5" applyNumberFormat="1" applyFont="1" applyFill="1" applyBorder="1" applyAlignment="1">
      <alignment horizontal="center" vertical="center" wrapText="1"/>
    </xf>
    <xf numFmtId="3" fontId="135" fillId="21" borderId="70" xfId="5" applyNumberFormat="1" applyFont="1" applyFill="1" applyBorder="1" applyAlignment="1">
      <alignment horizontal="center" vertical="center" wrapText="1"/>
    </xf>
    <xf numFmtId="3" fontId="135" fillId="21" borderId="19" xfId="5" applyNumberFormat="1" applyFont="1" applyFill="1" applyBorder="1" applyAlignment="1">
      <alignment horizontal="center" vertical="center" wrapText="1"/>
    </xf>
    <xf numFmtId="3" fontId="135" fillId="21" borderId="20" xfId="44" applyNumberFormat="1" applyFont="1" applyFill="1" applyBorder="1" applyAlignment="1">
      <alignment horizontal="center" vertical="center" wrapText="1"/>
    </xf>
    <xf numFmtId="3" fontId="135" fillId="0" borderId="11" xfId="5" applyNumberFormat="1" applyFont="1" applyFill="1" applyBorder="1" applyAlignment="1">
      <alignment horizontal="center" vertical="center" wrapText="1"/>
    </xf>
    <xf numFmtId="3" fontId="135" fillId="0" borderId="9" xfId="5" applyNumberFormat="1" applyFont="1" applyFill="1" applyBorder="1" applyAlignment="1">
      <alignment horizontal="center" vertical="center" wrapText="1"/>
    </xf>
    <xf numFmtId="3" fontId="135" fillId="0" borderId="63" xfId="5" applyNumberFormat="1" applyFont="1" applyFill="1" applyBorder="1" applyAlignment="1">
      <alignment horizontal="center" vertical="center" wrapText="1"/>
    </xf>
    <xf numFmtId="3" fontId="135" fillId="21" borderId="14" xfId="5" applyNumberFormat="1" applyFont="1" applyFill="1" applyBorder="1" applyAlignment="1">
      <alignment horizontal="center" vertical="center" wrapText="1"/>
    </xf>
    <xf numFmtId="3" fontId="135" fillId="21" borderId="74" xfId="44" applyNumberFormat="1" applyFont="1" applyFill="1" applyBorder="1" applyAlignment="1">
      <alignment horizontal="center" vertical="center" wrapText="1"/>
    </xf>
    <xf numFmtId="0" fontId="126" fillId="0" borderId="0" xfId="42" applyFont="1" applyFill="1" applyAlignment="1">
      <alignment horizontal="center" vertical="center"/>
    </xf>
    <xf numFmtId="0" fontId="126" fillId="0" borderId="0" xfId="42" applyFont="1" applyFill="1" applyAlignment="1">
      <alignment horizontal="center" vertical="center" wrapText="1"/>
    </xf>
    <xf numFmtId="0" fontId="13" fillId="0" borderId="0" xfId="43" applyAlignment="1">
      <alignment horizontal="center" vertical="center" wrapText="1"/>
    </xf>
    <xf numFmtId="0" fontId="132" fillId="0" borderId="0" xfId="42" applyFont="1" applyFill="1" applyAlignment="1">
      <alignment horizontal="center" vertical="center" wrapText="1"/>
    </xf>
    <xf numFmtId="0" fontId="13" fillId="0" borderId="0" xfId="43"/>
    <xf numFmtId="3" fontId="135" fillId="21" borderId="7" xfId="5" applyNumberFormat="1" applyFont="1" applyFill="1" applyBorder="1" applyAlignment="1">
      <alignment horizontal="center" vertical="center" textRotation="90" wrapText="1"/>
    </xf>
    <xf numFmtId="3" fontId="135" fillId="21" borderId="5" xfId="5" applyNumberFormat="1" applyFont="1" applyFill="1" applyBorder="1" applyAlignment="1">
      <alignment horizontal="center" vertical="center" textRotation="90" wrapText="1"/>
    </xf>
    <xf numFmtId="3" fontId="135" fillId="21" borderId="41" xfId="5" applyNumberFormat="1" applyFont="1" applyFill="1" applyBorder="1" applyAlignment="1">
      <alignment horizontal="center" vertical="center" textRotation="90" wrapText="1"/>
    </xf>
    <xf numFmtId="3" fontId="135" fillId="21" borderId="44" xfId="5" applyNumberFormat="1" applyFont="1" applyFill="1" applyBorder="1" applyAlignment="1">
      <alignment horizontal="center" vertical="center" wrapText="1"/>
    </xf>
    <xf numFmtId="3" fontId="135" fillId="21" borderId="68" xfId="44" applyNumberFormat="1" applyFont="1" applyFill="1" applyBorder="1" applyAlignment="1">
      <alignment horizontal="center" vertical="center" textRotation="90" wrapText="1"/>
    </xf>
    <xf numFmtId="0" fontId="4" fillId="0" borderId="0" xfId="45"/>
    <xf numFmtId="0" fontId="7" fillId="0" borderId="0" xfId="5" applyFont="1" applyFill="1" applyBorder="1" applyAlignment="1">
      <alignment vertical="center" wrapText="1"/>
    </xf>
    <xf numFmtId="0" fontId="47" fillId="0" borderId="0" xfId="5" applyFont="1" applyFill="1" applyAlignment="1">
      <alignment vertical="center"/>
    </xf>
    <xf numFmtId="0" fontId="138" fillId="0" borderId="0" xfId="46" applyFont="1" applyFill="1" applyBorder="1" applyAlignment="1">
      <alignment vertical="center"/>
    </xf>
    <xf numFmtId="0" fontId="139" fillId="0" borderId="0" xfId="46" applyFont="1"/>
    <xf numFmtId="0" fontId="140" fillId="25" borderId="29" xfId="46" applyFont="1" applyFill="1" applyBorder="1" applyAlignment="1">
      <alignment horizontal="center" vertical="center"/>
    </xf>
    <xf numFmtId="0" fontId="141" fillId="4" borderId="48" xfId="46" applyFont="1" applyFill="1" applyBorder="1" applyAlignment="1">
      <alignment horizontal="center" vertical="center"/>
    </xf>
    <xf numFmtId="0" fontId="139" fillId="2" borderId="12" xfId="46" applyFont="1" applyFill="1" applyBorder="1" applyAlignment="1">
      <alignment horizontal="center" vertical="center"/>
    </xf>
    <xf numFmtId="0" fontId="139" fillId="2" borderId="50" xfId="46" applyFont="1" applyFill="1" applyBorder="1" applyAlignment="1">
      <alignment horizontal="center" vertical="center"/>
    </xf>
    <xf numFmtId="0" fontId="141" fillId="4" borderId="15" xfId="46" applyFont="1" applyFill="1" applyBorder="1" applyAlignment="1">
      <alignment horizontal="center" vertical="center"/>
    </xf>
    <xf numFmtId="0" fontId="139" fillId="2" borderId="16" xfId="46" applyFont="1" applyFill="1" applyBorder="1" applyAlignment="1">
      <alignment horizontal="center" vertical="center"/>
    </xf>
    <xf numFmtId="0" fontId="141" fillId="4" borderId="32" xfId="46" applyFont="1" applyFill="1" applyBorder="1" applyAlignment="1">
      <alignment horizontal="center" vertical="center"/>
    </xf>
    <xf numFmtId="0" fontId="139" fillId="2" borderId="33" xfId="46" applyFont="1" applyFill="1" applyBorder="1" applyAlignment="1">
      <alignment horizontal="center" vertical="center"/>
    </xf>
    <xf numFmtId="0" fontId="139" fillId="2" borderId="73" xfId="46" applyFont="1" applyFill="1" applyBorder="1" applyAlignment="1">
      <alignment horizontal="center" vertical="center"/>
    </xf>
    <xf numFmtId="0" fontId="139" fillId="2" borderId="61" xfId="46" applyFont="1" applyFill="1" applyBorder="1" applyAlignment="1">
      <alignment horizontal="center" vertical="center"/>
    </xf>
    <xf numFmtId="0" fontId="141" fillId="0" borderId="144" xfId="46" applyFont="1" applyFill="1" applyBorder="1" applyAlignment="1">
      <alignment horizontal="center" vertical="center"/>
    </xf>
    <xf numFmtId="0" fontId="139" fillId="0" borderId="145" xfId="46" applyFont="1" applyFill="1" applyBorder="1" applyAlignment="1">
      <alignment horizontal="center" vertical="center"/>
    </xf>
    <xf numFmtId="0" fontId="139" fillId="2" borderId="146" xfId="46" applyFont="1" applyFill="1" applyBorder="1" applyAlignment="1">
      <alignment horizontal="center" vertical="center"/>
    </xf>
    <xf numFmtId="0" fontId="139" fillId="0" borderId="0" xfId="46" applyFont="1" applyAlignment="1">
      <alignment vertical="center" wrapText="1" readingOrder="2"/>
    </xf>
    <xf numFmtId="0" fontId="139" fillId="0" borderId="0" xfId="46" applyFont="1" applyAlignment="1">
      <alignment horizontal="right" vertical="center"/>
    </xf>
    <xf numFmtId="0" fontId="139" fillId="0" borderId="0" xfId="46" applyFont="1" applyAlignment="1">
      <alignment horizontal="center" vertical="center"/>
    </xf>
    <xf numFmtId="0" fontId="139" fillId="0" borderId="0" xfId="46" applyFont="1" applyAlignment="1">
      <alignment vertical="center" readingOrder="2"/>
    </xf>
    <xf numFmtId="0" fontId="142" fillId="0" borderId="0" xfId="47" applyFont="1" applyAlignment="1">
      <alignment horizontal="center" vertical="center"/>
    </xf>
    <xf numFmtId="0" fontId="142" fillId="0" borderId="0" xfId="47" applyFont="1"/>
    <xf numFmtId="0" fontId="143" fillId="0" borderId="0" xfId="47" applyFont="1" applyBorder="1" applyAlignment="1">
      <alignment vertical="center"/>
    </xf>
    <xf numFmtId="0" fontId="144" fillId="0" borderId="0" xfId="47" applyFont="1" applyBorder="1" applyAlignment="1">
      <alignment vertical="center"/>
    </xf>
    <xf numFmtId="0" fontId="140" fillId="25" borderId="147" xfId="47" applyFont="1" applyFill="1" applyBorder="1" applyAlignment="1">
      <alignment horizontal="center" vertical="center"/>
    </xf>
    <xf numFmtId="0" fontId="140" fillId="25" borderId="148" xfId="47" applyFont="1" applyFill="1" applyBorder="1" applyAlignment="1">
      <alignment horizontal="center" vertical="center"/>
    </xf>
    <xf numFmtId="0" fontId="140" fillId="25" borderId="149" xfId="47" applyFont="1" applyFill="1" applyBorder="1" applyAlignment="1">
      <alignment horizontal="center" vertical="center"/>
    </xf>
    <xf numFmtId="0" fontId="141" fillId="0" borderId="8" xfId="47" applyFont="1" applyFill="1" applyBorder="1" applyAlignment="1">
      <alignment horizontal="center" vertical="center"/>
    </xf>
    <xf numFmtId="0" fontId="139" fillId="0" borderId="9" xfId="47" applyFont="1" applyFill="1" applyBorder="1" applyAlignment="1">
      <alignment horizontal="center" vertical="center"/>
    </xf>
    <xf numFmtId="169" fontId="139" fillId="0" borderId="9" xfId="47" applyNumberFormat="1" applyFont="1" applyFill="1" applyBorder="1" applyAlignment="1">
      <alignment horizontal="center" vertical="center"/>
    </xf>
    <xf numFmtId="169" fontId="139" fillId="0" borderId="12" xfId="47" applyNumberFormat="1" applyFont="1" applyFill="1" applyBorder="1" applyAlignment="1">
      <alignment horizontal="center" vertical="center"/>
    </xf>
    <xf numFmtId="0" fontId="141" fillId="0" borderId="15" xfId="47" applyFont="1" applyFill="1" applyBorder="1" applyAlignment="1">
      <alignment horizontal="center" vertical="center"/>
    </xf>
    <xf numFmtId="0" fontId="139" fillId="0" borderId="16" xfId="47" applyFont="1" applyFill="1" applyBorder="1" applyAlignment="1">
      <alignment horizontal="center" vertical="center"/>
    </xf>
    <xf numFmtId="169" fontId="139" fillId="0" borderId="16" xfId="47" applyNumberFormat="1" applyFont="1" applyFill="1" applyBorder="1" applyAlignment="1">
      <alignment horizontal="center" vertical="center"/>
    </xf>
    <xf numFmtId="0" fontId="141" fillId="2" borderId="15" xfId="47" applyFont="1" applyFill="1" applyBorder="1" applyAlignment="1">
      <alignment horizontal="center" vertical="center"/>
    </xf>
    <xf numFmtId="0" fontId="141" fillId="0" borderId="41" xfId="47" applyFont="1" applyFill="1" applyBorder="1" applyAlignment="1">
      <alignment horizontal="center" vertical="center"/>
    </xf>
    <xf numFmtId="169" fontId="139" fillId="0" borderId="5" xfId="47" applyNumberFormat="1" applyFont="1" applyFill="1" applyBorder="1" applyAlignment="1">
      <alignment horizontal="center" vertical="center"/>
    </xf>
    <xf numFmtId="0" fontId="145" fillId="0" borderId="0" xfId="47" applyFont="1" applyAlignment="1">
      <alignment vertical="center" wrapText="1"/>
    </xf>
    <xf numFmtId="0" fontId="146" fillId="0" borderId="0" xfId="47" applyFont="1" applyAlignment="1">
      <alignment wrapText="1"/>
    </xf>
    <xf numFmtId="0" fontId="7" fillId="0" borderId="0" xfId="48" applyFont="1" applyFill="1" applyAlignment="1">
      <alignment vertical="center"/>
    </xf>
    <xf numFmtId="0" fontId="11" fillId="0" borderId="31" xfId="48" applyFont="1" applyFill="1" applyBorder="1" applyAlignment="1">
      <alignment horizontal="center" vertical="center"/>
    </xf>
    <xf numFmtId="0" fontId="11" fillId="0" borderId="4" xfId="48" applyFont="1" applyFill="1" applyBorder="1" applyAlignment="1">
      <alignment horizontal="center" vertical="center"/>
    </xf>
    <xf numFmtId="3" fontId="7" fillId="0" borderId="0" xfId="48" applyNumberFormat="1" applyFont="1" applyFill="1" applyAlignment="1">
      <alignment vertical="center"/>
    </xf>
    <xf numFmtId="0" fontId="11" fillId="0" borderId="50" xfId="48" applyFont="1" applyFill="1" applyBorder="1" applyAlignment="1">
      <alignment horizontal="center" vertical="center"/>
    </xf>
    <xf numFmtId="0" fontId="63" fillId="0" borderId="0" xfId="48" applyFont="1" applyFill="1" applyBorder="1" applyAlignment="1">
      <alignment vertical="center"/>
    </xf>
    <xf numFmtId="0" fontId="7" fillId="0" borderId="0" xfId="48" applyFont="1" applyFill="1"/>
    <xf numFmtId="49" fontId="7" fillId="0" borderId="0" xfId="48" applyNumberFormat="1" applyFont="1" applyFill="1" applyAlignment="1">
      <alignment horizontal="center"/>
    </xf>
    <xf numFmtId="0" fontId="11" fillId="0" borderId="27" xfId="48" applyFont="1" applyFill="1" applyBorder="1" applyAlignment="1">
      <alignment horizontal="center" vertical="center" textRotation="90"/>
    </xf>
    <xf numFmtId="0" fontId="147" fillId="0" borderId="29" xfId="48" applyFont="1" applyFill="1" applyBorder="1" applyAlignment="1">
      <alignment horizontal="center" vertical="center" textRotation="90"/>
    </xf>
    <xf numFmtId="0" fontId="7" fillId="2" borderId="0" xfId="48" applyFont="1" applyFill="1"/>
    <xf numFmtId="49" fontId="7" fillId="2" borderId="0" xfId="48" applyNumberFormat="1" applyFont="1" applyFill="1" applyAlignment="1">
      <alignment horizontal="center"/>
    </xf>
    <xf numFmtId="0" fontId="34" fillId="0" borderId="143" xfId="48" applyFont="1" applyFill="1" applyBorder="1" applyAlignment="1">
      <alignment horizontal="center" vertical="center"/>
    </xf>
    <xf numFmtId="0" fontId="7" fillId="2" borderId="33" xfId="48" applyFont="1" applyFill="1" applyBorder="1" applyAlignment="1">
      <alignment horizontal="center" vertical="center"/>
    </xf>
    <xf numFmtId="0" fontId="11" fillId="0" borderId="42" xfId="48" applyFont="1" applyFill="1" applyBorder="1" applyAlignment="1">
      <alignment horizontal="center" vertical="center"/>
    </xf>
    <xf numFmtId="0" fontId="7" fillId="2" borderId="12" xfId="48" applyFont="1" applyFill="1" applyBorder="1" applyAlignment="1">
      <alignment horizontal="center" vertical="center"/>
    </xf>
    <xf numFmtId="0" fontId="149" fillId="0" borderId="46" xfId="48" applyFont="1" applyFill="1" applyBorder="1" applyAlignment="1">
      <alignment horizontal="right" vertical="center"/>
    </xf>
    <xf numFmtId="0" fontId="7" fillId="0" borderId="0" xfId="48" applyFont="1" applyFill="1" applyAlignment="1"/>
    <xf numFmtId="0" fontId="16" fillId="0" borderId="2" xfId="48" applyFont="1" applyFill="1" applyBorder="1" applyAlignment="1">
      <alignment horizontal="right" vertical="center"/>
    </xf>
    <xf numFmtId="0" fontId="25" fillId="2" borderId="161" xfId="61" applyFont="1" applyFill="1" applyBorder="1" applyAlignment="1">
      <alignment horizontal="center" vertical="center" wrapText="1"/>
    </xf>
    <xf numFmtId="0" fontId="25" fillId="2" borderId="162" xfId="61" applyFont="1" applyFill="1" applyBorder="1" applyAlignment="1">
      <alignment horizontal="center" vertical="center" wrapText="1"/>
    </xf>
    <xf numFmtId="0" fontId="44" fillId="2" borderId="75" xfId="48" applyFont="1" applyFill="1" applyBorder="1" applyAlignment="1">
      <alignment horizontal="center" vertical="justify"/>
    </xf>
    <xf numFmtId="0" fontId="34" fillId="2" borderId="0" xfId="48" applyFont="1" applyFill="1" applyBorder="1" applyAlignment="1">
      <alignment horizontal="center" vertical="center"/>
    </xf>
    <xf numFmtId="0" fontId="44" fillId="2" borderId="73" xfId="48" applyFont="1" applyFill="1" applyBorder="1" applyAlignment="1">
      <alignment horizontal="center" vertical="center"/>
    </xf>
    <xf numFmtId="0" fontId="7" fillId="2" borderId="61" xfId="48" applyFont="1" applyFill="1" applyBorder="1" applyAlignment="1">
      <alignment horizontal="center" vertical="center"/>
    </xf>
    <xf numFmtId="0" fontId="11" fillId="2" borderId="47" xfId="48" applyFont="1" applyFill="1" applyBorder="1" applyAlignment="1">
      <alignment horizontal="right" vertical="center"/>
    </xf>
    <xf numFmtId="0" fontId="25" fillId="2" borderId="163" xfId="64" applyFont="1" applyFill="1" applyBorder="1" applyAlignment="1">
      <alignment horizontal="center" vertical="center" wrapText="1"/>
    </xf>
    <xf numFmtId="0" fontId="25" fillId="2" borderId="164" xfId="64" applyFont="1" applyFill="1" applyBorder="1" applyAlignment="1">
      <alignment horizontal="center" vertical="center" wrapText="1"/>
    </xf>
    <xf numFmtId="0" fontId="44" fillId="2" borderId="56" xfId="48" applyFont="1" applyFill="1" applyBorder="1" applyAlignment="1">
      <alignment horizontal="center" vertical="justify"/>
    </xf>
    <xf numFmtId="0" fontId="34" fillId="2" borderId="77" xfId="48" applyFont="1" applyFill="1" applyBorder="1" applyAlignment="1">
      <alignment horizontal="center" vertical="center"/>
    </xf>
    <xf numFmtId="0" fontId="7" fillId="0" borderId="0" xfId="48" applyFont="1" applyFill="1" applyAlignment="1">
      <alignment horizontal="center"/>
    </xf>
    <xf numFmtId="0" fontId="11" fillId="0" borderId="46" xfId="48" applyFont="1" applyFill="1" applyBorder="1" applyAlignment="1">
      <alignment horizontal="center" vertical="center"/>
    </xf>
    <xf numFmtId="0" fontId="11" fillId="0" borderId="0" xfId="48" applyFont="1" applyFill="1" applyBorder="1" applyAlignment="1">
      <alignment horizontal="right" vertical="center"/>
    </xf>
    <xf numFmtId="0" fontId="34" fillId="0" borderId="0" xfId="48" applyFont="1" applyFill="1" applyBorder="1" applyAlignment="1">
      <alignment horizontal="center" vertical="center"/>
    </xf>
    <xf numFmtId="0" fontId="10" fillId="0" borderId="0" xfId="48" applyFont="1" applyFill="1" applyBorder="1" applyAlignment="1">
      <alignment horizontal="center" vertical="center"/>
    </xf>
    <xf numFmtId="0" fontId="10" fillId="2" borderId="0" xfId="48" applyFont="1" applyFill="1" applyBorder="1" applyAlignment="1">
      <alignment horizontal="center" vertical="center"/>
    </xf>
    <xf numFmtId="0" fontId="34" fillId="0" borderId="3" xfId="48" applyFont="1" applyFill="1" applyBorder="1" applyAlignment="1">
      <alignment horizontal="center" vertical="center"/>
    </xf>
    <xf numFmtId="0" fontId="10" fillId="2" borderId="39" xfId="48" applyFont="1" applyFill="1" applyBorder="1" applyAlignment="1">
      <alignment horizontal="center" vertical="center"/>
    </xf>
    <xf numFmtId="0" fontId="149" fillId="0" borderId="0" xfId="48" applyFont="1" applyFill="1" applyBorder="1" applyAlignment="1">
      <alignment horizontal="right" vertical="center"/>
    </xf>
    <xf numFmtId="0" fontId="7" fillId="2" borderId="39" xfId="48" applyFont="1" applyFill="1" applyBorder="1" applyAlignment="1">
      <alignment horizontal="center" vertical="center"/>
    </xf>
    <xf numFmtId="0" fontId="150" fillId="0" borderId="0" xfId="48" applyFont="1" applyFill="1" applyBorder="1" applyAlignment="1">
      <alignment horizontal="right" vertical="center"/>
    </xf>
    <xf numFmtId="0" fontId="11" fillId="0" borderId="46" xfId="48" applyFont="1" applyFill="1" applyBorder="1" applyAlignment="1">
      <alignment horizontal="center" vertical="center" wrapText="1"/>
    </xf>
    <xf numFmtId="0" fontId="11" fillId="0" borderId="61" xfId="48" applyFont="1" applyFill="1" applyBorder="1" applyAlignment="1">
      <alignment horizontal="center" vertical="center"/>
    </xf>
    <xf numFmtId="0" fontId="7" fillId="2" borderId="73" xfId="48" applyFont="1" applyFill="1" applyBorder="1" applyAlignment="1">
      <alignment horizontal="center" vertical="center"/>
    </xf>
    <xf numFmtId="0" fontId="65" fillId="0" borderId="0" xfId="48" applyFont="1" applyFill="1" applyBorder="1" applyAlignment="1">
      <alignment horizontal="center" textRotation="90"/>
    </xf>
    <xf numFmtId="49" fontId="7" fillId="5" borderId="16" xfId="48" applyNumberFormat="1" applyFont="1" applyFill="1" applyBorder="1" applyAlignment="1">
      <alignment horizontal="center" vertical="center"/>
    </xf>
    <xf numFmtId="0" fontId="7" fillId="5" borderId="16" xfId="48" applyFont="1" applyFill="1" applyBorder="1" applyAlignment="1">
      <alignment vertical="center"/>
    </xf>
    <xf numFmtId="0" fontId="7" fillId="2" borderId="2" xfId="48" applyFont="1" applyFill="1" applyBorder="1" applyAlignment="1">
      <alignment horizontal="center" vertical="center"/>
    </xf>
    <xf numFmtId="0" fontId="7" fillId="2" borderId="25" xfId="48" applyFont="1" applyFill="1" applyBorder="1" applyAlignment="1">
      <alignment horizontal="center" vertical="center"/>
    </xf>
    <xf numFmtId="0" fontId="7" fillId="0" borderId="16" xfId="48" applyFont="1" applyFill="1" applyBorder="1" applyAlignment="1">
      <alignment vertical="center"/>
    </xf>
    <xf numFmtId="0" fontId="44" fillId="2" borderId="5" xfId="48" applyFont="1" applyFill="1" applyBorder="1" applyAlignment="1">
      <alignment horizontal="center" vertical="center"/>
    </xf>
    <xf numFmtId="0" fontId="28" fillId="0" borderId="0" xfId="48" applyFont="1" applyFill="1"/>
    <xf numFmtId="0" fontId="11" fillId="0" borderId="0" xfId="48" applyFont="1" applyFill="1" applyAlignment="1">
      <alignment vertical="center"/>
    </xf>
    <xf numFmtId="0" fontId="35" fillId="0" borderId="0" xfId="48" applyFont="1" applyFill="1"/>
    <xf numFmtId="0" fontId="7" fillId="0" borderId="0" xfId="48" applyFont="1" applyFill="1" applyBorder="1"/>
    <xf numFmtId="0" fontId="7" fillId="0" borderId="0" xfId="48" applyFont="1" applyFill="1" applyBorder="1" applyAlignment="1">
      <alignment horizontal="center" vertical="center"/>
    </xf>
    <xf numFmtId="0" fontId="10" fillId="0" borderId="0" xfId="48" applyFont="1" applyFill="1" applyBorder="1" applyAlignment="1">
      <alignment horizontal="right" vertical="center"/>
    </xf>
    <xf numFmtId="0" fontId="7" fillId="0" borderId="0" xfId="48" applyFont="1" applyFill="1" applyBorder="1" applyAlignment="1">
      <alignment horizontal="right" vertical="center"/>
    </xf>
    <xf numFmtId="0" fontId="44" fillId="2" borderId="36" xfId="48" applyFont="1" applyFill="1" applyBorder="1" applyAlignment="1">
      <alignment horizontal="center" vertical="center"/>
    </xf>
    <xf numFmtId="0" fontId="153" fillId="0" borderId="0" xfId="48" applyFont="1" applyFill="1" applyAlignment="1">
      <alignment horizontal="right"/>
    </xf>
    <xf numFmtId="0" fontId="63" fillId="0" borderId="0" xfId="48" applyFont="1" applyFill="1" applyBorder="1" applyAlignment="1">
      <alignment horizontal="center" vertical="center"/>
    </xf>
    <xf numFmtId="0" fontId="147" fillId="0" borderId="0" xfId="48" applyFont="1" applyFill="1" applyBorder="1" applyAlignment="1">
      <alignment horizontal="center" vertical="center" textRotation="90"/>
    </xf>
    <xf numFmtId="0" fontId="11" fillId="0" borderId="0" xfId="48" applyFont="1" applyFill="1" applyBorder="1" applyAlignment="1">
      <alignment horizontal="center" vertical="center" textRotation="90"/>
    </xf>
    <xf numFmtId="0" fontId="44" fillId="0" borderId="0" xfId="48" applyFont="1" applyFill="1" applyAlignment="1">
      <alignment horizontal="right"/>
    </xf>
    <xf numFmtId="0" fontId="44" fillId="2" borderId="0" xfId="48" applyFont="1" applyFill="1" applyAlignment="1">
      <alignment horizontal="right"/>
    </xf>
    <xf numFmtId="0" fontId="35" fillId="0" borderId="0" xfId="48" applyFont="1" applyFill="1" applyBorder="1"/>
    <xf numFmtId="0" fontId="11" fillId="0" borderId="32" xfId="48" applyFont="1" applyFill="1" applyBorder="1" applyAlignment="1">
      <alignment horizontal="center" vertical="center" textRotation="90"/>
    </xf>
    <xf numFmtId="0" fontId="11" fillId="0" borderId="24" xfId="48" applyFont="1" applyFill="1" applyBorder="1" applyAlignment="1">
      <alignment horizontal="center" vertical="center" textRotation="90"/>
    </xf>
    <xf numFmtId="0" fontId="11" fillId="0" borderId="33" xfId="48" applyFont="1" applyFill="1" applyBorder="1" applyAlignment="1">
      <alignment horizontal="center" vertical="center" textRotation="90"/>
    </xf>
    <xf numFmtId="0" fontId="147" fillId="0" borderId="34" xfId="48" applyFont="1" applyFill="1" applyBorder="1" applyAlignment="1">
      <alignment horizontal="center" vertical="center" textRotation="90"/>
    </xf>
    <xf numFmtId="0" fontId="11" fillId="0" borderId="31" xfId="48" applyFont="1" applyFill="1" applyBorder="1" applyAlignment="1">
      <alignment horizontal="center" vertical="center" textRotation="90"/>
    </xf>
    <xf numFmtId="0" fontId="147" fillId="0" borderId="33" xfId="48" applyFont="1" applyFill="1" applyBorder="1" applyAlignment="1">
      <alignment horizontal="center" vertical="center" textRotation="90"/>
    </xf>
    <xf numFmtId="0" fontId="11" fillId="2" borderId="33" xfId="48" applyFont="1" applyFill="1" applyBorder="1" applyAlignment="1">
      <alignment horizontal="center" vertical="center" textRotation="90"/>
    </xf>
    <xf numFmtId="0" fontId="11" fillId="0" borderId="34" xfId="48" applyFont="1" applyFill="1" applyBorder="1" applyAlignment="1">
      <alignment horizontal="center" vertical="center" textRotation="90"/>
    </xf>
    <xf numFmtId="0" fontId="150" fillId="0" borderId="0" xfId="48" applyFont="1" applyFill="1" applyBorder="1"/>
    <xf numFmtId="0" fontId="10" fillId="0" borderId="0" xfId="48" applyFont="1" applyFill="1" applyBorder="1"/>
    <xf numFmtId="0" fontId="7" fillId="0" borderId="38" xfId="48" applyFont="1" applyFill="1" applyBorder="1" applyAlignment="1">
      <alignment horizontal="right" vertical="center"/>
    </xf>
    <xf numFmtId="0" fontId="7" fillId="0" borderId="71" xfId="48" applyFont="1" applyFill="1" applyBorder="1" applyAlignment="1">
      <alignment horizontal="right" vertical="center"/>
    </xf>
    <xf numFmtId="0" fontId="44" fillId="0" borderId="39" xfId="48" applyFont="1" applyFill="1" applyBorder="1" applyAlignment="1">
      <alignment horizontal="right" vertical="center"/>
    </xf>
    <xf numFmtId="0" fontId="44" fillId="2" borderId="39" xfId="48" applyFont="1" applyFill="1" applyBorder="1" applyAlignment="1">
      <alignment horizontal="right" vertical="center"/>
    </xf>
    <xf numFmtId="0" fontId="7" fillId="0" borderId="4" xfId="48" applyFont="1" applyFill="1" applyBorder="1" applyAlignment="1">
      <alignment horizontal="right" vertical="center"/>
    </xf>
    <xf numFmtId="0" fontId="47" fillId="0" borderId="0" xfId="48" applyFont="1" applyFill="1"/>
    <xf numFmtId="0" fontId="7" fillId="0" borderId="72" xfId="48" applyFont="1" applyFill="1" applyBorder="1" applyAlignment="1">
      <alignment horizontal="right" vertical="center"/>
    </xf>
    <xf numFmtId="0" fontId="7" fillId="0" borderId="56" xfId="48" applyFont="1" applyFill="1" applyBorder="1" applyAlignment="1">
      <alignment horizontal="right" vertical="center"/>
    </xf>
    <xf numFmtId="0" fontId="44" fillId="0" borderId="12" xfId="48" applyFont="1" applyFill="1" applyBorder="1" applyAlignment="1">
      <alignment horizontal="right" vertical="center"/>
    </xf>
    <xf numFmtId="0" fontId="44" fillId="2" borderId="12" xfId="48" applyFont="1" applyFill="1" applyBorder="1" applyAlignment="1">
      <alignment horizontal="right" vertical="center"/>
    </xf>
    <xf numFmtId="0" fontId="7" fillId="0" borderId="61" xfId="48" applyFont="1" applyFill="1" applyBorder="1" applyAlignment="1">
      <alignment horizontal="right" vertical="center"/>
    </xf>
    <xf numFmtId="0" fontId="7" fillId="0" borderId="32" xfId="48" applyFont="1" applyFill="1" applyBorder="1" applyAlignment="1">
      <alignment horizontal="right" vertical="center"/>
    </xf>
    <xf numFmtId="0" fontId="7" fillId="0" borderId="75" xfId="48" applyFont="1" applyFill="1" applyBorder="1" applyAlignment="1">
      <alignment horizontal="right" vertical="center"/>
    </xf>
    <xf numFmtId="0" fontId="7" fillId="0" borderId="33" xfId="48" applyFont="1" applyFill="1" applyBorder="1" applyAlignment="1">
      <alignment horizontal="right" vertical="center"/>
    </xf>
    <xf numFmtId="0" fontId="7" fillId="2" borderId="33" xfId="48" applyFont="1" applyFill="1" applyBorder="1" applyAlignment="1">
      <alignment horizontal="right" vertical="center"/>
    </xf>
    <xf numFmtId="0" fontId="7" fillId="0" borderId="31" xfId="48" applyFont="1" applyFill="1" applyBorder="1" applyAlignment="1">
      <alignment horizontal="right" vertical="center"/>
    </xf>
    <xf numFmtId="0" fontId="58" fillId="0" borderId="0" xfId="48" applyFont="1" applyFill="1"/>
    <xf numFmtId="0" fontId="7" fillId="0" borderId="43" xfId="48" applyFont="1" applyFill="1" applyBorder="1" applyAlignment="1">
      <alignment horizontal="right" vertical="center"/>
    </xf>
    <xf numFmtId="0" fontId="7" fillId="0" borderId="73" xfId="48" applyFont="1" applyFill="1" applyBorder="1" applyAlignment="1">
      <alignment horizontal="right" vertical="center"/>
    </xf>
    <xf numFmtId="0" fontId="7" fillId="2" borderId="73" xfId="48" applyFont="1" applyFill="1" applyBorder="1" applyAlignment="1">
      <alignment horizontal="right" vertical="center"/>
    </xf>
    <xf numFmtId="10" fontId="7" fillId="0" borderId="0" xfId="94" applyNumberFormat="1" applyFont="1" applyFill="1"/>
    <xf numFmtId="174" fontId="7" fillId="0" borderId="0" xfId="94" applyNumberFormat="1" applyFont="1" applyFill="1"/>
    <xf numFmtId="0" fontId="11" fillId="2" borderId="4" xfId="48" applyFont="1" applyFill="1" applyBorder="1" applyAlignment="1">
      <alignment horizontal="center" vertical="center"/>
    </xf>
    <xf numFmtId="0" fontId="7" fillId="2" borderId="2" xfId="48" applyFont="1" applyFill="1" applyBorder="1" applyAlignment="1">
      <alignment horizontal="right" vertical="center"/>
    </xf>
    <xf numFmtId="0" fontId="7" fillId="2" borderId="71" xfId="48" applyFont="1" applyFill="1" applyBorder="1" applyAlignment="1">
      <alignment horizontal="right" vertical="center"/>
    </xf>
    <xf numFmtId="0" fontId="34" fillId="2" borderId="3" xfId="48" applyFont="1" applyFill="1" applyBorder="1" applyAlignment="1">
      <alignment horizontal="center" vertical="center"/>
    </xf>
    <xf numFmtId="0" fontId="7" fillId="2" borderId="40" xfId="48" applyFont="1" applyFill="1" applyBorder="1" applyAlignment="1">
      <alignment horizontal="right" vertical="center"/>
    </xf>
    <xf numFmtId="0" fontId="7" fillId="2" borderId="4" xfId="48" applyFont="1" applyFill="1" applyBorder="1" applyAlignment="1">
      <alignment horizontal="right" vertical="center"/>
    </xf>
    <xf numFmtId="0" fontId="11" fillId="2" borderId="35" xfId="48" applyFont="1" applyFill="1" applyBorder="1" applyAlignment="1">
      <alignment horizontal="center" vertical="center"/>
    </xf>
    <xf numFmtId="0" fontId="7" fillId="2" borderId="25" xfId="48" applyFont="1" applyFill="1" applyBorder="1" applyAlignment="1">
      <alignment horizontal="right" vertical="center"/>
    </xf>
    <xf numFmtId="0" fontId="7" fillId="2" borderId="59" xfId="48" applyFont="1" applyFill="1" applyBorder="1" applyAlignment="1">
      <alignment horizontal="right" vertical="center"/>
    </xf>
    <xf numFmtId="0" fontId="34" fillId="2" borderId="1" xfId="48" applyFont="1" applyFill="1" applyBorder="1" applyAlignment="1">
      <alignment horizontal="center" vertical="center"/>
    </xf>
    <xf numFmtId="0" fontId="7" fillId="2" borderId="42" xfId="48" applyFont="1" applyFill="1" applyBorder="1" applyAlignment="1">
      <alignment horizontal="right" vertical="center"/>
    </xf>
    <xf numFmtId="0" fontId="7" fillId="2" borderId="35" xfId="48" applyFont="1" applyFill="1" applyBorder="1" applyAlignment="1">
      <alignment horizontal="right" vertical="center"/>
    </xf>
    <xf numFmtId="0" fontId="7" fillId="0" borderId="3" xfId="48" applyFont="1" applyFill="1" applyBorder="1" applyAlignment="1">
      <alignment horizontal="right"/>
    </xf>
    <xf numFmtId="0" fontId="7" fillId="2" borderId="3" xfId="48" applyFont="1" applyFill="1" applyBorder="1" applyAlignment="1">
      <alignment horizontal="right"/>
    </xf>
    <xf numFmtId="0" fontId="21" fillId="0" borderId="0" xfId="48" applyFont="1" applyFill="1" applyAlignment="1"/>
    <xf numFmtId="0" fontId="21" fillId="2" borderId="0" xfId="48" applyFont="1" applyFill="1" applyAlignment="1"/>
    <xf numFmtId="169" fontId="7" fillId="0" borderId="0" xfId="48" applyNumberFormat="1" applyFont="1" applyFill="1"/>
    <xf numFmtId="0" fontId="6" fillId="0" borderId="0" xfId="48"/>
    <xf numFmtId="0" fontId="6" fillId="2" borderId="0" xfId="48" applyFill="1"/>
    <xf numFmtId="0" fontId="156" fillId="2" borderId="44" xfId="35" applyFont="1" applyFill="1" applyBorder="1" applyAlignment="1">
      <alignment horizontal="center" vertical="center"/>
    </xf>
    <xf numFmtId="0" fontId="156" fillId="2" borderId="57" xfId="35" applyFont="1" applyFill="1" applyBorder="1" applyAlignment="1">
      <alignment horizontal="center" vertical="center"/>
    </xf>
    <xf numFmtId="0" fontId="156" fillId="2" borderId="5" xfId="35" applyFont="1" applyFill="1" applyBorder="1" applyAlignment="1">
      <alignment horizontal="center" vertical="center"/>
    </xf>
    <xf numFmtId="0" fontId="17" fillId="0" borderId="16" xfId="96" applyFont="1" applyBorder="1" applyAlignment="1">
      <alignment horizontal="center" vertical="center"/>
    </xf>
    <xf numFmtId="3" fontId="17" fillId="2" borderId="16" xfId="96" applyNumberFormat="1" applyFont="1" applyFill="1" applyBorder="1" applyAlignment="1">
      <alignment horizontal="center"/>
    </xf>
    <xf numFmtId="1" fontId="17" fillId="0" borderId="16" xfId="96" applyNumberFormat="1" applyFont="1" applyBorder="1" applyAlignment="1">
      <alignment horizontal="center"/>
    </xf>
    <xf numFmtId="1" fontId="159" fillId="0" borderId="16" xfId="96" applyNumberFormat="1" applyFont="1" applyFill="1" applyBorder="1" applyAlignment="1">
      <alignment horizontal="center" vertical="center" readingOrder="2"/>
    </xf>
    <xf numFmtId="1" fontId="17" fillId="2" borderId="16" xfId="96" applyNumberFormat="1" applyFont="1" applyFill="1" applyBorder="1" applyAlignment="1">
      <alignment horizontal="center"/>
    </xf>
    <xf numFmtId="0" fontId="17" fillId="0" borderId="16" xfId="96" applyFont="1" applyBorder="1" applyAlignment="1">
      <alignment horizontal="center"/>
    </xf>
    <xf numFmtId="3" fontId="17" fillId="0" borderId="16" xfId="96" applyNumberFormat="1" applyFont="1" applyBorder="1" applyAlignment="1">
      <alignment horizontal="center"/>
    </xf>
    <xf numFmtId="0" fontId="17" fillId="0" borderId="16" xfId="96" applyNumberFormat="1" applyFont="1" applyBorder="1" applyAlignment="1">
      <alignment horizontal="center"/>
    </xf>
    <xf numFmtId="1" fontId="17" fillId="2" borderId="0" xfId="35" applyNumberFormat="1" applyFont="1" applyFill="1" applyBorder="1" applyAlignment="1">
      <alignment horizontal="center"/>
    </xf>
    <xf numFmtId="3" fontId="17" fillId="0" borderId="0" xfId="35" applyNumberFormat="1" applyFont="1" applyFill="1" applyBorder="1" applyAlignment="1">
      <alignment horizontal="center"/>
    </xf>
    <xf numFmtId="0" fontId="7" fillId="0" borderId="0" xfId="98" applyFont="1" applyFill="1"/>
    <xf numFmtId="0" fontId="16" fillId="0" borderId="38" xfId="98" applyFont="1" applyFill="1" applyBorder="1" applyAlignment="1">
      <alignment horizontal="center" vertical="center"/>
    </xf>
    <xf numFmtId="0" fontId="16" fillId="0" borderId="39" xfId="98" applyFont="1" applyFill="1" applyBorder="1" applyAlignment="1">
      <alignment horizontal="center" vertical="center"/>
    </xf>
    <xf numFmtId="0" fontId="16" fillId="0" borderId="40" xfId="98" applyFont="1" applyFill="1" applyBorder="1" applyAlignment="1">
      <alignment horizontal="center" vertical="center"/>
    </xf>
    <xf numFmtId="0" fontId="16" fillId="0" borderId="0" xfId="98" applyFont="1" applyFill="1" applyBorder="1" applyAlignment="1">
      <alignment horizontal="center" vertical="center"/>
    </xf>
    <xf numFmtId="0" fontId="16" fillId="0" borderId="43" xfId="98" applyFont="1" applyFill="1" applyBorder="1" applyAlignment="1">
      <alignment horizontal="center" vertical="center"/>
    </xf>
    <xf numFmtId="0" fontId="16" fillId="0" borderId="36" xfId="98" applyFont="1" applyFill="1" applyBorder="1" applyAlignment="1">
      <alignment horizontal="center" vertical="center"/>
    </xf>
    <xf numFmtId="0" fontId="16" fillId="0" borderId="37" xfId="98" applyFont="1" applyFill="1" applyBorder="1" applyAlignment="1">
      <alignment horizontal="center" vertical="center"/>
    </xf>
    <xf numFmtId="0" fontId="12" fillId="0" borderId="165" xfId="5" applyFont="1" applyBorder="1" applyAlignment="1">
      <alignment horizontal="center" vertical="center"/>
    </xf>
    <xf numFmtId="0" fontId="12" fillId="0" borderId="166" xfId="5" applyFont="1" applyBorder="1" applyAlignment="1">
      <alignment horizontal="center" vertical="center"/>
    </xf>
    <xf numFmtId="0" fontId="12" fillId="0" borderId="167" xfId="5" applyFont="1" applyBorder="1" applyAlignment="1">
      <alignment horizontal="center" vertical="center"/>
    </xf>
    <xf numFmtId="0" fontId="11" fillId="0" borderId="0" xfId="98" applyFont="1" applyFill="1" applyBorder="1" applyAlignment="1">
      <alignment horizontal="center" vertical="center"/>
    </xf>
    <xf numFmtId="0" fontId="7" fillId="0" borderId="61" xfId="98" applyFont="1" applyFill="1" applyBorder="1" applyAlignment="1">
      <alignment horizontal="center" vertical="center"/>
    </xf>
    <xf numFmtId="0" fontId="11" fillId="0" borderId="38" xfId="98" applyFont="1" applyFill="1" applyBorder="1" applyAlignment="1">
      <alignment horizontal="center" vertical="center"/>
    </xf>
    <xf numFmtId="0" fontId="7" fillId="0" borderId="69" xfId="98" applyFont="1" applyFill="1" applyBorder="1" applyAlignment="1">
      <alignment horizontal="center" vertical="center"/>
    </xf>
    <xf numFmtId="0" fontId="11" fillId="0" borderId="72" xfId="98" applyFont="1" applyFill="1" applyBorder="1" applyAlignment="1">
      <alignment horizontal="center" vertical="center"/>
    </xf>
    <xf numFmtId="0" fontId="7" fillId="0" borderId="51" xfId="98" applyFont="1" applyFill="1" applyBorder="1" applyAlignment="1">
      <alignment horizontal="center" vertical="center"/>
    </xf>
    <xf numFmtId="0" fontId="12" fillId="0" borderId="169" xfId="5" applyFont="1" applyBorder="1" applyAlignment="1">
      <alignment horizontal="center" vertical="center"/>
    </xf>
    <xf numFmtId="0" fontId="12" fillId="0" borderId="170" xfId="5" applyFont="1" applyBorder="1" applyAlignment="1">
      <alignment horizontal="center" vertical="center"/>
    </xf>
    <xf numFmtId="0" fontId="12" fillId="0" borderId="171" xfId="5" applyFont="1" applyBorder="1" applyAlignment="1">
      <alignment horizontal="center" vertical="center"/>
    </xf>
    <xf numFmtId="0" fontId="160" fillId="0" borderId="170" xfId="5" applyFont="1" applyBorder="1" applyAlignment="1">
      <alignment horizontal="center" vertical="center"/>
    </xf>
    <xf numFmtId="0" fontId="12" fillId="0" borderId="172" xfId="5" applyFont="1" applyBorder="1" applyAlignment="1">
      <alignment horizontal="center" vertical="center"/>
    </xf>
    <xf numFmtId="0" fontId="12" fillId="0" borderId="72" xfId="5" applyFont="1" applyBorder="1" applyAlignment="1">
      <alignment horizontal="center" vertical="center"/>
    </xf>
    <xf numFmtId="0" fontId="12" fillId="0" borderId="65" xfId="5" applyFont="1" applyBorder="1" applyAlignment="1">
      <alignment horizontal="center" vertical="center"/>
    </xf>
    <xf numFmtId="0" fontId="12" fillId="0" borderId="51" xfId="5" applyFont="1" applyBorder="1" applyAlignment="1">
      <alignment horizontal="center" vertical="center"/>
    </xf>
    <xf numFmtId="0" fontId="160" fillId="0" borderId="167" xfId="5" applyFont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2" fillId="0" borderId="175" xfId="5" applyFont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0" fontId="47" fillId="0" borderId="170" xfId="5" applyFont="1" applyBorder="1" applyAlignment="1">
      <alignment horizontal="center" vertical="center"/>
    </xf>
    <xf numFmtId="0" fontId="11" fillId="0" borderId="0" xfId="98" applyFont="1" applyFill="1" applyBorder="1" applyAlignment="1">
      <alignment horizontal="center"/>
    </xf>
    <xf numFmtId="0" fontId="57" fillId="0" borderId="0" xfId="98" applyFont="1" applyFill="1" applyBorder="1" applyAlignment="1">
      <alignment horizontal="center" vertical="center"/>
    </xf>
    <xf numFmtId="0" fontId="11" fillId="2" borderId="0" xfId="98" applyFont="1" applyFill="1" applyBorder="1" applyAlignment="1">
      <alignment horizontal="center"/>
    </xf>
    <xf numFmtId="0" fontId="12" fillId="0" borderId="176" xfId="5" applyFont="1" applyBorder="1" applyAlignment="1">
      <alignment horizontal="center" vertical="center"/>
    </xf>
    <xf numFmtId="0" fontId="12" fillId="0" borderId="177" xfId="5" applyFont="1" applyBorder="1" applyAlignment="1">
      <alignment horizontal="center" vertical="center"/>
    </xf>
    <xf numFmtId="0" fontId="12" fillId="0" borderId="178" xfId="5" applyFont="1" applyBorder="1" applyAlignment="1">
      <alignment horizontal="center" vertical="center"/>
    </xf>
    <xf numFmtId="0" fontId="12" fillId="0" borderId="46" xfId="5" applyFont="1" applyBorder="1" applyAlignment="1">
      <alignment horizontal="center" vertical="center"/>
    </xf>
    <xf numFmtId="0" fontId="12" fillId="0" borderId="73" xfId="5" applyFont="1" applyBorder="1" applyAlignment="1">
      <alignment horizontal="center" vertical="center"/>
    </xf>
    <xf numFmtId="0" fontId="12" fillId="0" borderId="61" xfId="5" applyFont="1" applyBorder="1" applyAlignment="1">
      <alignment horizontal="center" vertical="center"/>
    </xf>
    <xf numFmtId="0" fontId="12" fillId="0" borderId="179" xfId="5" applyFont="1" applyBorder="1" applyAlignment="1">
      <alignment horizontal="center" vertical="center"/>
    </xf>
    <xf numFmtId="0" fontId="12" fillId="0" borderId="180" xfId="5" applyFont="1" applyBorder="1" applyAlignment="1">
      <alignment horizontal="center" vertical="center"/>
    </xf>
    <xf numFmtId="0" fontId="161" fillId="0" borderId="180" xfId="5" applyFont="1" applyBorder="1" applyAlignment="1">
      <alignment horizontal="center" vertical="center"/>
    </xf>
    <xf numFmtId="0" fontId="12" fillId="0" borderId="181" xfId="5" applyFont="1" applyBorder="1" applyAlignment="1">
      <alignment horizontal="center" vertical="center"/>
    </xf>
    <xf numFmtId="0" fontId="11" fillId="0" borderId="46" xfId="98" applyFont="1" applyFill="1" applyBorder="1" applyAlignment="1">
      <alignment horizontal="center"/>
    </xf>
    <xf numFmtId="0" fontId="34" fillId="0" borderId="0" xfId="98" applyFont="1" applyFill="1" applyBorder="1" applyAlignment="1"/>
    <xf numFmtId="0" fontId="11" fillId="0" borderId="46" xfId="98" applyFont="1" applyFill="1" applyBorder="1" applyAlignment="1">
      <alignment horizontal="center" vertical="center"/>
    </xf>
    <xf numFmtId="0" fontId="12" fillId="0" borderId="183" xfId="5" applyFont="1" applyBorder="1" applyAlignment="1">
      <alignment horizontal="center" vertical="center"/>
    </xf>
    <xf numFmtId="0" fontId="12" fillId="0" borderId="184" xfId="5" applyFont="1" applyBorder="1" applyAlignment="1">
      <alignment horizontal="center" vertical="center"/>
    </xf>
    <xf numFmtId="0" fontId="12" fillId="0" borderId="185" xfId="5" applyFont="1" applyBorder="1" applyAlignment="1">
      <alignment horizontal="center" vertical="center"/>
    </xf>
    <xf numFmtId="0" fontId="11" fillId="0" borderId="186" xfId="98" applyFont="1" applyFill="1" applyBorder="1" applyAlignment="1">
      <alignment horizontal="center"/>
    </xf>
    <xf numFmtId="0" fontId="7" fillId="0" borderId="4" xfId="98" applyFont="1" applyFill="1" applyBorder="1" applyAlignment="1">
      <alignment horizontal="center" vertical="center"/>
    </xf>
    <xf numFmtId="0" fontId="12" fillId="0" borderId="187" xfId="5" applyFont="1" applyBorder="1" applyAlignment="1">
      <alignment horizontal="center" vertical="center"/>
    </xf>
    <xf numFmtId="0" fontId="10" fillId="0" borderId="188" xfId="98" applyFont="1" applyFill="1" applyBorder="1" applyAlignment="1"/>
    <xf numFmtId="0" fontId="12" fillId="0" borderId="189" xfId="5" applyFont="1" applyBorder="1" applyAlignment="1">
      <alignment horizontal="center" vertical="center"/>
    </xf>
    <xf numFmtId="0" fontId="11" fillId="0" borderId="25" xfId="98" applyFont="1" applyFill="1" applyBorder="1" applyAlignment="1">
      <alignment horizontal="center" vertical="center"/>
    </xf>
    <xf numFmtId="0" fontId="7" fillId="0" borderId="35" xfId="98" applyFont="1" applyFill="1" applyBorder="1" applyAlignment="1">
      <alignment horizontal="center" vertical="center"/>
    </xf>
    <xf numFmtId="0" fontId="12" fillId="0" borderId="19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23" fillId="0" borderId="0" xfId="98" applyFont="1" applyFill="1" applyAlignment="1">
      <alignment horizontal="center" vertical="center"/>
    </xf>
    <xf numFmtId="0" fontId="23" fillId="0" borderId="0" xfId="98" applyFont="1" applyFill="1"/>
    <xf numFmtId="0" fontId="12" fillId="0" borderId="15" xfId="2" applyFont="1" applyFill="1" applyBorder="1" applyAlignment="1">
      <alignment horizontal="center" vertical="center"/>
    </xf>
    <xf numFmtId="0" fontId="7" fillId="0" borderId="18" xfId="98" applyFont="1" applyFill="1" applyBorder="1" applyAlignment="1">
      <alignment horizontal="center" vertical="center"/>
    </xf>
    <xf numFmtId="0" fontId="12" fillId="0" borderId="191" xfId="5" applyFont="1" applyBorder="1" applyAlignment="1">
      <alignment horizontal="center" vertical="center"/>
    </xf>
    <xf numFmtId="0" fontId="12" fillId="0" borderId="192" xfId="5" applyFont="1" applyBorder="1" applyAlignment="1">
      <alignment horizontal="center" vertical="center"/>
    </xf>
    <xf numFmtId="0" fontId="12" fillId="0" borderId="193" xfId="5" applyFont="1" applyBorder="1" applyAlignment="1">
      <alignment horizontal="center" vertical="center"/>
    </xf>
    <xf numFmtId="0" fontId="12" fillId="0" borderId="183" xfId="2" applyFont="1" applyFill="1" applyBorder="1" applyAlignment="1">
      <alignment horizontal="center" vertical="center"/>
    </xf>
    <xf numFmtId="0" fontId="7" fillId="0" borderId="194" xfId="98" applyFont="1" applyFill="1" applyBorder="1" applyAlignment="1">
      <alignment horizontal="center" vertical="center"/>
    </xf>
    <xf numFmtId="0" fontId="12" fillId="0" borderId="165" xfId="2" applyFont="1" applyFill="1" applyBorder="1" applyAlignment="1">
      <alignment horizontal="center" vertical="center"/>
    </xf>
    <xf numFmtId="0" fontId="7" fillId="0" borderId="175" xfId="98" applyFont="1" applyFill="1" applyBorder="1" applyAlignment="1">
      <alignment horizontal="center" vertical="center"/>
    </xf>
    <xf numFmtId="0" fontId="12" fillId="0" borderId="195" xfId="5" applyFont="1" applyBorder="1" applyAlignment="1">
      <alignment horizontal="center" vertical="center"/>
    </xf>
    <xf numFmtId="0" fontId="12" fillId="0" borderId="196" xfId="5" applyFont="1" applyBorder="1" applyAlignment="1">
      <alignment horizontal="center" vertical="center"/>
    </xf>
    <xf numFmtId="0" fontId="12" fillId="0" borderId="189" xfId="2" applyFont="1" applyFill="1" applyBorder="1" applyAlignment="1">
      <alignment horizontal="center" vertical="center"/>
    </xf>
    <xf numFmtId="0" fontId="7" fillId="0" borderId="197" xfId="98" applyFont="1" applyFill="1" applyBorder="1" applyAlignment="1">
      <alignment horizontal="center" vertical="center"/>
    </xf>
    <xf numFmtId="1" fontId="7" fillId="0" borderId="59" xfId="98" applyNumberFormat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vertical="center"/>
    </xf>
    <xf numFmtId="0" fontId="10" fillId="0" borderId="47" xfId="5" applyFont="1" applyFill="1" applyBorder="1" applyAlignment="1">
      <alignment horizontal="center" vertical="center"/>
    </xf>
    <xf numFmtId="1" fontId="12" fillId="0" borderId="49" xfId="5" applyNumberFormat="1" applyFont="1" applyFill="1" applyBorder="1" applyAlignment="1">
      <alignment horizontal="right" vertical="center" indent="2" readingOrder="2"/>
    </xf>
    <xf numFmtId="1" fontId="12" fillId="0" borderId="49" xfId="5" applyNumberFormat="1" applyFont="1" applyFill="1" applyBorder="1" applyAlignment="1">
      <alignment horizontal="center" vertical="center" readingOrder="2"/>
    </xf>
    <xf numFmtId="0" fontId="10" fillId="0" borderId="20" xfId="5" applyFont="1" applyFill="1" applyBorder="1" applyAlignment="1">
      <alignment horizontal="center" vertical="center"/>
    </xf>
    <xf numFmtId="0" fontId="10" fillId="0" borderId="23" xfId="5" applyFont="1" applyFill="1" applyBorder="1" applyAlignment="1">
      <alignment horizontal="center" vertical="center"/>
    </xf>
    <xf numFmtId="1" fontId="12" fillId="0" borderId="51" xfId="5" applyNumberFormat="1" applyFont="1" applyFill="1" applyBorder="1" applyAlignment="1">
      <alignment horizontal="right" vertical="center" indent="2" readingOrder="2"/>
    </xf>
    <xf numFmtId="1" fontId="12" fillId="0" borderId="5" xfId="5" applyNumberFormat="1" applyFont="1" applyFill="1" applyBorder="1" applyAlignment="1">
      <alignment horizontal="right" vertical="center" indent="2" readingOrder="2"/>
    </xf>
    <xf numFmtId="1" fontId="12" fillId="0" borderId="44" xfId="5" applyNumberFormat="1" applyFont="1" applyFill="1" applyBorder="1" applyAlignment="1">
      <alignment horizontal="right" vertical="center" indent="2" readingOrder="2"/>
    </xf>
    <xf numFmtId="1" fontId="12" fillId="0" borderId="6" xfId="5" applyNumberFormat="1" applyFont="1" applyFill="1" applyBorder="1" applyAlignment="1">
      <alignment horizontal="right" vertical="center" indent="2" readingOrder="2"/>
    </xf>
    <xf numFmtId="1" fontId="12" fillId="0" borderId="58" xfId="5" applyNumberFormat="1" applyFont="1" applyFill="1" applyBorder="1" applyAlignment="1">
      <alignment horizontal="right" vertical="center" indent="2" readingOrder="2"/>
    </xf>
    <xf numFmtId="0" fontId="47" fillId="0" borderId="0" xfId="5" applyFont="1" applyFill="1" applyAlignment="1">
      <alignment wrapText="1"/>
    </xf>
    <xf numFmtId="0" fontId="47" fillId="0" borderId="0" xfId="5" applyFont="1" applyFill="1" applyAlignment="1">
      <alignment horizontal="center" vertical="center" wrapText="1"/>
    </xf>
    <xf numFmtId="0" fontId="13" fillId="0" borderId="0" xfId="99"/>
    <xf numFmtId="0" fontId="9" fillId="2" borderId="0" xfId="99" applyFont="1" applyFill="1" applyBorder="1" applyAlignment="1">
      <alignment vertical="center"/>
    </xf>
    <xf numFmtId="0" fontId="23" fillId="2" borderId="58" xfId="99" applyFont="1" applyFill="1" applyBorder="1" applyAlignment="1">
      <alignment vertical="center" wrapText="1"/>
    </xf>
    <xf numFmtId="0" fontId="4" fillId="0" borderId="0" xfId="93"/>
    <xf numFmtId="0" fontId="23" fillId="2" borderId="44" xfId="99" applyFont="1" applyFill="1" applyBorder="1" applyAlignment="1">
      <alignment horizontal="center" vertical="center" wrapText="1"/>
    </xf>
    <xf numFmtId="0" fontId="23" fillId="2" borderId="60" xfId="99" applyFont="1" applyFill="1" applyBorder="1" applyAlignment="1">
      <alignment horizontal="center" vertical="center" wrapText="1"/>
    </xf>
    <xf numFmtId="0" fontId="49" fillId="2" borderId="44" xfId="99" applyFont="1" applyFill="1" applyBorder="1" applyAlignment="1">
      <alignment horizontal="center" vertical="center" wrapText="1"/>
    </xf>
    <xf numFmtId="0" fontId="17" fillId="0" borderId="198" xfId="99" applyFont="1" applyFill="1" applyBorder="1" applyAlignment="1">
      <alignment horizontal="center" vertical="center"/>
    </xf>
    <xf numFmtId="0" fontId="81" fillId="2" borderId="168" xfId="93" applyFont="1" applyFill="1" applyBorder="1" applyAlignment="1">
      <alignment horizontal="center" vertical="center"/>
    </xf>
    <xf numFmtId="0" fontId="81" fillId="2" borderId="199" xfId="93" applyFont="1" applyFill="1" applyBorder="1" applyAlignment="1">
      <alignment horizontal="center" vertical="center"/>
    </xf>
    <xf numFmtId="0" fontId="81" fillId="2" borderId="200" xfId="93" applyFont="1" applyFill="1" applyBorder="1" applyAlignment="1">
      <alignment horizontal="center" vertical="center"/>
    </xf>
    <xf numFmtId="0" fontId="156" fillId="0" borderId="201" xfId="99" applyFont="1" applyBorder="1" applyAlignment="1">
      <alignment horizontal="center" vertical="center"/>
    </xf>
    <xf numFmtId="0" fontId="17" fillId="0" borderId="202" xfId="99" applyFont="1" applyFill="1" applyBorder="1" applyAlignment="1">
      <alignment horizontal="center" vertical="center"/>
    </xf>
    <xf numFmtId="0" fontId="81" fillId="2" borderId="165" xfId="99" applyFont="1" applyFill="1" applyBorder="1" applyAlignment="1">
      <alignment horizontal="center" vertical="center"/>
    </xf>
    <xf numFmtId="0" fontId="81" fillId="2" borderId="172" xfId="99" applyFont="1" applyFill="1" applyBorder="1" applyAlignment="1">
      <alignment horizontal="center" vertical="center"/>
    </xf>
    <xf numFmtId="0" fontId="81" fillId="2" borderId="175" xfId="99" applyFont="1" applyFill="1" applyBorder="1" applyAlignment="1">
      <alignment horizontal="center" vertical="center"/>
    </xf>
    <xf numFmtId="0" fontId="81" fillId="2" borderId="165" xfId="93" applyFont="1" applyFill="1" applyBorder="1" applyAlignment="1">
      <alignment horizontal="center" vertical="center"/>
    </xf>
    <xf numFmtId="0" fontId="81" fillId="2" borderId="172" xfId="93" applyFont="1" applyFill="1" applyBorder="1" applyAlignment="1">
      <alignment horizontal="center" vertical="center"/>
    </xf>
    <xf numFmtId="0" fontId="81" fillId="2" borderId="175" xfId="93" applyFont="1" applyFill="1" applyBorder="1" applyAlignment="1">
      <alignment horizontal="center" vertical="center"/>
    </xf>
    <xf numFmtId="0" fontId="81" fillId="2" borderId="169" xfId="93" applyFont="1" applyFill="1" applyBorder="1" applyAlignment="1">
      <alignment horizontal="center" vertical="center"/>
    </xf>
    <xf numFmtId="0" fontId="81" fillId="2" borderId="203" xfId="93" applyFont="1" applyFill="1" applyBorder="1" applyAlignment="1">
      <alignment horizontal="center" vertical="center"/>
    </xf>
    <xf numFmtId="0" fontId="81" fillId="2" borderId="204" xfId="93" applyFont="1" applyFill="1" applyBorder="1" applyAlignment="1">
      <alignment horizontal="center" vertical="center"/>
    </xf>
    <xf numFmtId="0" fontId="81" fillId="2" borderId="182" xfId="99" applyFont="1" applyFill="1" applyBorder="1" applyAlignment="1">
      <alignment horizontal="center" vertical="center"/>
    </xf>
    <xf numFmtId="0" fontId="81" fillId="2" borderId="205" xfId="99" applyFont="1" applyFill="1" applyBorder="1" applyAlignment="1">
      <alignment horizontal="center" vertical="center"/>
    </xf>
    <xf numFmtId="0" fontId="81" fillId="2" borderId="206" xfId="99" applyFont="1" applyFill="1" applyBorder="1" applyAlignment="1">
      <alignment horizontal="center" vertical="center"/>
    </xf>
    <xf numFmtId="0" fontId="81" fillId="2" borderId="182" xfId="93" applyFont="1" applyFill="1" applyBorder="1" applyAlignment="1">
      <alignment horizontal="center" vertical="center"/>
    </xf>
    <xf numFmtId="0" fontId="81" fillId="2" borderId="205" xfId="93" applyFont="1" applyFill="1" applyBorder="1" applyAlignment="1">
      <alignment horizontal="center" vertical="center"/>
    </xf>
    <xf numFmtId="0" fontId="17" fillId="0" borderId="202" xfId="99" applyFont="1" applyFill="1" applyBorder="1" applyAlignment="1">
      <alignment horizontal="center" vertical="center" shrinkToFit="1"/>
    </xf>
    <xf numFmtId="0" fontId="17" fillId="0" borderId="207" xfId="99" applyFont="1" applyFill="1" applyBorder="1" applyAlignment="1">
      <alignment horizontal="center" vertical="center" shrinkToFit="1"/>
    </xf>
    <xf numFmtId="0" fontId="17" fillId="0" borderId="208" xfId="99" applyFont="1" applyFill="1" applyBorder="1" applyAlignment="1">
      <alignment horizontal="center" vertical="center"/>
    </xf>
    <xf numFmtId="0" fontId="81" fillId="2" borderId="189" xfId="99" applyFont="1" applyFill="1" applyBorder="1" applyAlignment="1">
      <alignment horizontal="center" vertical="center"/>
    </xf>
    <xf numFmtId="0" fontId="81" fillId="2" borderId="195" xfId="99" applyFont="1" applyFill="1" applyBorder="1" applyAlignment="1">
      <alignment horizontal="center" vertical="center"/>
    </xf>
    <xf numFmtId="0" fontId="81" fillId="2" borderId="197" xfId="99" applyFont="1" applyFill="1" applyBorder="1" applyAlignment="1">
      <alignment horizontal="center" vertical="center"/>
    </xf>
    <xf numFmtId="0" fontId="156" fillId="0" borderId="208" xfId="99" applyFont="1" applyBorder="1" applyAlignment="1">
      <alignment horizontal="center" vertical="center"/>
    </xf>
    <xf numFmtId="0" fontId="156" fillId="0" borderId="44" xfId="99" applyFont="1" applyFill="1" applyBorder="1" applyAlignment="1">
      <alignment horizontal="center" vertical="center"/>
    </xf>
    <xf numFmtId="0" fontId="156" fillId="0" borderId="1" xfId="99" applyFont="1" applyBorder="1" applyAlignment="1">
      <alignment horizontal="center" vertical="center"/>
    </xf>
    <xf numFmtId="0" fontId="156" fillId="0" borderId="209" xfId="99" applyFont="1" applyBorder="1" applyAlignment="1">
      <alignment horizontal="center" vertical="center"/>
    </xf>
    <xf numFmtId="0" fontId="156" fillId="0" borderId="210" xfId="99" applyFont="1" applyBorder="1" applyAlignment="1">
      <alignment horizontal="center" vertical="center"/>
    </xf>
    <xf numFmtId="0" fontId="156" fillId="0" borderId="59" xfId="99" applyFont="1" applyBorder="1" applyAlignment="1">
      <alignment horizontal="center" vertical="center"/>
    </xf>
    <xf numFmtId="0" fontId="162" fillId="0" borderId="0" xfId="100" applyAlignment="1" applyProtection="1"/>
    <xf numFmtId="0" fontId="49" fillId="0" borderId="16" xfId="96" applyFont="1" applyBorder="1" applyAlignment="1">
      <alignment horizontal="center"/>
    </xf>
    <xf numFmtId="0" fontId="69" fillId="0" borderId="16" xfId="96" applyFont="1" applyBorder="1" applyAlignment="1">
      <alignment horizontal="center"/>
    </xf>
    <xf numFmtId="0" fontId="49" fillId="0" borderId="16" xfId="96" applyFont="1" applyBorder="1" applyAlignment="1">
      <alignment horizontal="center" vertical="center"/>
    </xf>
    <xf numFmtId="0" fontId="49" fillId="0" borderId="18" xfId="96" applyFont="1" applyBorder="1" applyAlignment="1">
      <alignment horizontal="center" vertical="center" readingOrder="2"/>
    </xf>
    <xf numFmtId="0" fontId="49" fillId="0" borderId="16" xfId="96" applyNumberFormat="1" applyFont="1" applyFill="1" applyBorder="1" applyAlignment="1">
      <alignment horizontal="center" vertical="center"/>
    </xf>
    <xf numFmtId="0" fontId="49" fillId="0" borderId="18" xfId="96" applyFont="1" applyBorder="1" applyAlignment="1">
      <alignment horizontal="center" vertical="center"/>
    </xf>
    <xf numFmtId="0" fontId="49" fillId="2" borderId="16" xfId="96" applyFont="1" applyFill="1" applyBorder="1" applyAlignment="1">
      <alignment horizontal="center"/>
    </xf>
    <xf numFmtId="0" fontId="49" fillId="2" borderId="16" xfId="96" applyNumberFormat="1" applyFont="1" applyFill="1" applyBorder="1" applyAlignment="1">
      <alignment horizontal="center" vertical="center"/>
    </xf>
    <xf numFmtId="184" fontId="49" fillId="0" borderId="16" xfId="96" applyNumberFormat="1" applyFont="1" applyBorder="1" applyAlignment="1">
      <alignment horizontal="center" vertical="center"/>
    </xf>
    <xf numFmtId="0" fontId="49" fillId="0" borderId="18" xfId="96" applyFont="1" applyBorder="1" applyAlignment="1">
      <alignment horizontal="center" vertical="center" readingOrder="1"/>
    </xf>
    <xf numFmtId="184" fontId="49" fillId="0" borderId="16" xfId="96" applyNumberFormat="1" applyFont="1" applyBorder="1" applyAlignment="1">
      <alignment horizontal="center" vertical="center" readingOrder="2"/>
    </xf>
    <xf numFmtId="3" fontId="49" fillId="0" borderId="16" xfId="96" applyNumberFormat="1" applyFont="1" applyFill="1" applyBorder="1" applyAlignment="1">
      <alignment horizontal="center" vertical="center"/>
    </xf>
    <xf numFmtId="0" fontId="49" fillId="0" borderId="16" xfId="96" applyNumberFormat="1" applyFont="1" applyBorder="1" applyAlignment="1">
      <alignment horizontal="center" vertical="center"/>
    </xf>
    <xf numFmtId="0" fontId="49" fillId="2" borderId="18" xfId="96" applyFont="1" applyFill="1" applyBorder="1" applyAlignment="1">
      <alignment horizontal="center" vertical="center"/>
    </xf>
    <xf numFmtId="0" fontId="23" fillId="2" borderId="16" xfId="96" applyFont="1" applyFill="1" applyBorder="1" applyAlignment="1">
      <alignment horizontal="center" vertical="center"/>
    </xf>
    <xf numFmtId="0" fontId="59" fillId="2" borderId="53" xfId="43" applyFont="1" applyFill="1" applyBorder="1" applyAlignment="1">
      <alignment horizontal="center" vertical="center"/>
    </xf>
    <xf numFmtId="0" fontId="23" fillId="2" borderId="29" xfId="96" applyFont="1" applyFill="1" applyBorder="1" applyAlignment="1">
      <alignment horizontal="center" vertical="center"/>
    </xf>
    <xf numFmtId="0" fontId="49" fillId="2" borderId="28" xfId="96" applyFont="1" applyFill="1" applyBorder="1" applyAlignment="1">
      <alignment horizontal="center" vertical="center"/>
    </xf>
    <xf numFmtId="169" fontId="17" fillId="2" borderId="217" xfId="35" applyNumberFormat="1" applyFont="1" applyFill="1" applyBorder="1" applyAlignment="1">
      <alignment horizontal="center" vertical="center"/>
    </xf>
    <xf numFmtId="169" fontId="17" fillId="2" borderId="218" xfId="35" applyNumberFormat="1" applyFont="1" applyFill="1" applyBorder="1" applyAlignment="1">
      <alignment horizontal="center" vertical="center"/>
    </xf>
    <xf numFmtId="169" fontId="17" fillId="2" borderId="219" xfId="35" applyNumberFormat="1" applyFont="1" applyFill="1" applyBorder="1" applyAlignment="1">
      <alignment horizontal="center" vertical="center"/>
    </xf>
    <xf numFmtId="0" fontId="12" fillId="2" borderId="220" xfId="35" applyFont="1" applyFill="1" applyBorder="1" applyAlignment="1">
      <alignment horizontal="center" vertical="center"/>
    </xf>
    <xf numFmtId="1" fontId="81" fillId="0" borderId="16" xfId="99" applyNumberFormat="1" applyFont="1" applyFill="1" applyBorder="1" applyAlignment="1">
      <alignment horizontal="center" vertical="center"/>
    </xf>
    <xf numFmtId="0" fontId="81" fillId="0" borderId="16" xfId="99" applyFont="1" applyFill="1" applyBorder="1" applyAlignment="1">
      <alignment horizontal="center" vertical="center"/>
    </xf>
    <xf numFmtId="0" fontId="81" fillId="0" borderId="33" xfId="2" applyFont="1" applyBorder="1" applyAlignment="1">
      <alignment horizontal="center" vertical="center"/>
    </xf>
    <xf numFmtId="0" fontId="81" fillId="0" borderId="31" xfId="2" applyFont="1" applyBorder="1" applyAlignment="1">
      <alignment horizontal="center" vertical="center"/>
    </xf>
    <xf numFmtId="1" fontId="81" fillId="0" borderId="72" xfId="35" applyNumberFormat="1" applyFont="1" applyBorder="1" applyAlignment="1">
      <alignment horizontal="center" vertical="center"/>
    </xf>
    <xf numFmtId="0" fontId="81" fillId="0" borderId="61" xfId="35" applyFont="1" applyBorder="1" applyAlignment="1">
      <alignment horizontal="center" vertical="center"/>
    </xf>
    <xf numFmtId="1" fontId="13" fillId="0" borderId="0" xfId="35" applyNumberFormat="1"/>
    <xf numFmtId="0" fontId="12" fillId="2" borderId="221" xfId="35" applyFont="1" applyFill="1" applyBorder="1" applyAlignment="1">
      <alignment horizontal="center" vertical="center"/>
    </xf>
    <xf numFmtId="0" fontId="81" fillId="0" borderId="172" xfId="2" applyFont="1" applyBorder="1" applyAlignment="1">
      <alignment horizontal="center" vertical="center"/>
    </xf>
    <xf numFmtId="0" fontId="81" fillId="0" borderId="175" xfId="2" applyFont="1" applyBorder="1" applyAlignment="1">
      <alignment horizontal="center" vertical="center"/>
    </xf>
    <xf numFmtId="1" fontId="81" fillId="0" borderId="165" xfId="35" applyNumberFormat="1" applyFont="1" applyBorder="1" applyAlignment="1">
      <alignment horizontal="center" vertical="center"/>
    </xf>
    <xf numFmtId="1" fontId="81" fillId="0" borderId="175" xfId="35" applyNumberFormat="1" applyFont="1" applyBorder="1" applyAlignment="1">
      <alignment horizontal="center" vertical="center"/>
    </xf>
    <xf numFmtId="0" fontId="12" fillId="2" borderId="222" xfId="35" applyFont="1" applyFill="1" applyBorder="1" applyAlignment="1">
      <alignment horizontal="center" vertical="center"/>
    </xf>
    <xf numFmtId="0" fontId="81" fillId="2" borderId="172" xfId="2" applyFont="1" applyFill="1" applyBorder="1" applyAlignment="1">
      <alignment horizontal="center" vertical="center"/>
    </xf>
    <xf numFmtId="0" fontId="81" fillId="2" borderId="175" xfId="2" applyFont="1" applyFill="1" applyBorder="1" applyAlignment="1">
      <alignment horizontal="center" vertical="center"/>
    </xf>
    <xf numFmtId="0" fontId="81" fillId="0" borderId="33" xfId="99" applyFont="1" applyFill="1" applyBorder="1" applyAlignment="1">
      <alignment horizontal="center" vertical="center"/>
    </xf>
    <xf numFmtId="0" fontId="12" fillId="2" borderId="223" xfId="35" applyFont="1" applyFill="1" applyBorder="1" applyAlignment="1">
      <alignment horizontal="center" vertical="center"/>
    </xf>
    <xf numFmtId="0" fontId="81" fillId="0" borderId="192" xfId="2" applyFont="1" applyBorder="1" applyAlignment="1">
      <alignment horizontal="center" vertical="center"/>
    </xf>
    <xf numFmtId="0" fontId="81" fillId="0" borderId="224" xfId="2" applyFont="1" applyBorder="1" applyAlignment="1">
      <alignment horizontal="center" vertical="center"/>
    </xf>
    <xf numFmtId="0" fontId="12" fillId="2" borderId="225" xfId="35" applyFont="1" applyFill="1" applyBorder="1" applyAlignment="1">
      <alignment horizontal="center" vertical="center"/>
    </xf>
    <xf numFmtId="0" fontId="81" fillId="0" borderId="203" xfId="2" applyFont="1" applyBorder="1" applyAlignment="1">
      <alignment horizontal="center" vertical="center"/>
    </xf>
    <xf numFmtId="0" fontId="81" fillId="0" borderId="204" xfId="2" applyFont="1" applyBorder="1" applyAlignment="1">
      <alignment horizontal="center" vertical="center"/>
    </xf>
    <xf numFmtId="0" fontId="166" fillId="2" borderId="226" xfId="35" applyFont="1" applyFill="1" applyBorder="1" applyAlignment="1">
      <alignment horizontal="center" vertical="center"/>
    </xf>
    <xf numFmtId="1" fontId="157" fillId="0" borderId="227" xfId="35" applyNumberFormat="1" applyFont="1" applyBorder="1" applyAlignment="1">
      <alignment horizontal="center" vertical="center"/>
    </xf>
    <xf numFmtId="0" fontId="157" fillId="0" borderId="145" xfId="35" applyFont="1" applyBorder="1" applyAlignment="1">
      <alignment horizontal="center" vertical="center"/>
    </xf>
    <xf numFmtId="1" fontId="157" fillId="0" borderId="145" xfId="35" applyNumberFormat="1" applyFont="1" applyBorder="1" applyAlignment="1">
      <alignment horizontal="center" vertical="center"/>
    </xf>
    <xf numFmtId="0" fontId="157" fillId="0" borderId="228" xfId="35" applyFont="1" applyBorder="1" applyAlignment="1">
      <alignment horizontal="center" vertical="center"/>
    </xf>
    <xf numFmtId="0" fontId="157" fillId="0" borderId="227" xfId="35" applyFont="1" applyBorder="1" applyAlignment="1">
      <alignment horizontal="center" vertical="center"/>
    </xf>
    <xf numFmtId="1" fontId="157" fillId="0" borderId="41" xfId="35" applyNumberFormat="1" applyFont="1" applyBorder="1" applyAlignment="1">
      <alignment horizontal="center" vertical="center"/>
    </xf>
    <xf numFmtId="0" fontId="157" fillId="0" borderId="7" xfId="35" applyFont="1" applyBorder="1" applyAlignment="1">
      <alignment horizontal="center" vertical="center"/>
    </xf>
    <xf numFmtId="0" fontId="44" fillId="0" borderId="0" xfId="98" applyFont="1" applyFill="1" applyAlignment="1"/>
    <xf numFmtId="0" fontId="106" fillId="2" borderId="0" xfId="36" applyFont="1" applyFill="1" applyBorder="1" applyAlignment="1">
      <alignment horizontal="center" vertical="center"/>
    </xf>
    <xf numFmtId="0" fontId="69" fillId="0" borderId="117" xfId="96" applyFont="1" applyFill="1" applyBorder="1" applyAlignment="1">
      <alignment horizontal="center" vertical="center" wrapText="1" readingOrder="2"/>
    </xf>
    <xf numFmtId="0" fontId="69" fillId="0" borderId="26" xfId="96" applyFont="1" applyFill="1" applyBorder="1" applyAlignment="1">
      <alignment horizontal="center" vertical="center" wrapText="1" readingOrder="2"/>
    </xf>
    <xf numFmtId="0" fontId="69" fillId="0" borderId="116" xfId="96" applyFont="1" applyFill="1" applyBorder="1" applyAlignment="1">
      <alignment horizontal="center" vertical="center" wrapText="1" readingOrder="2"/>
    </xf>
    <xf numFmtId="0" fontId="69" fillId="0" borderId="26" xfId="96" applyFont="1" applyBorder="1" applyAlignment="1">
      <alignment horizontal="center" vertical="center" wrapText="1" readingOrder="2"/>
    </xf>
    <xf numFmtId="0" fontId="69" fillId="0" borderId="36" xfId="96" applyFont="1" applyBorder="1" applyAlignment="1">
      <alignment horizontal="center" vertical="center" wrapText="1" readingOrder="2"/>
    </xf>
    <xf numFmtId="0" fontId="69" fillId="0" borderId="116" xfId="96" applyFont="1" applyBorder="1" applyAlignment="1">
      <alignment horizontal="center" vertical="center" wrapText="1" readingOrder="2"/>
    </xf>
    <xf numFmtId="0" fontId="69" fillId="0" borderId="95" xfId="96" applyFont="1" applyBorder="1" applyAlignment="1">
      <alignment horizontal="center" vertical="center" wrapText="1" readingOrder="2"/>
    </xf>
    <xf numFmtId="0" fontId="69" fillId="0" borderId="109" xfId="96" applyFont="1" applyFill="1" applyBorder="1" applyAlignment="1">
      <alignment horizontal="center" vertical="center" wrapText="1" readingOrder="2"/>
    </xf>
    <xf numFmtId="0" fontId="69" fillId="0" borderId="57" xfId="96" applyFont="1" applyFill="1" applyBorder="1" applyAlignment="1">
      <alignment horizontal="center" vertical="center" wrapText="1" readingOrder="2"/>
    </xf>
    <xf numFmtId="0" fontId="69" fillId="0" borderId="108" xfId="96" applyFont="1" applyFill="1" applyBorder="1" applyAlignment="1">
      <alignment horizontal="center" vertical="center" wrapText="1" readingOrder="2"/>
    </xf>
    <xf numFmtId="0" fontId="69" fillId="0" borderId="57" xfId="96" applyFont="1" applyBorder="1" applyAlignment="1">
      <alignment horizontal="center" vertical="center" wrapText="1" readingOrder="2"/>
    </xf>
    <xf numFmtId="0" fontId="69" fillId="0" borderId="5" xfId="96" applyFont="1" applyBorder="1" applyAlignment="1">
      <alignment horizontal="center" vertical="center" wrapText="1" readingOrder="2"/>
    </xf>
    <xf numFmtId="0" fontId="69" fillId="0" borderId="108" xfId="96" applyFont="1" applyBorder="1" applyAlignment="1">
      <alignment horizontal="center" vertical="center" wrapText="1" readingOrder="2"/>
    </xf>
    <xf numFmtId="0" fontId="69" fillId="0" borderId="91" xfId="96" applyFont="1" applyBorder="1" applyAlignment="1">
      <alignment horizontal="center" vertical="center" wrapText="1" readingOrder="2"/>
    </xf>
    <xf numFmtId="0" fontId="69" fillId="0" borderId="111" xfId="96" applyFont="1" applyFill="1" applyBorder="1" applyAlignment="1">
      <alignment horizontal="center" vertical="center" wrapText="1" readingOrder="2"/>
    </xf>
    <xf numFmtId="0" fontId="69" fillId="0" borderId="65" xfId="96" applyFont="1" applyFill="1" applyBorder="1" applyAlignment="1">
      <alignment horizontal="center" vertical="center" wrapText="1" readingOrder="2"/>
    </xf>
    <xf numFmtId="0" fontId="69" fillId="0" borderId="110" xfId="96" applyFont="1" applyFill="1" applyBorder="1" applyAlignment="1">
      <alignment horizontal="center" vertical="center" wrapText="1" readingOrder="2"/>
    </xf>
    <xf numFmtId="0" fontId="69" fillId="0" borderId="65" xfId="96" applyFont="1" applyBorder="1" applyAlignment="1">
      <alignment horizontal="center" vertical="center" wrapText="1" readingOrder="2"/>
    </xf>
    <xf numFmtId="0" fontId="69" fillId="0" borderId="73" xfId="96" applyFont="1" applyBorder="1" applyAlignment="1">
      <alignment horizontal="center" vertical="center" wrapText="1" readingOrder="2"/>
    </xf>
    <xf numFmtId="0" fontId="69" fillId="0" borderId="110" xfId="96" applyFont="1" applyBorder="1" applyAlignment="1">
      <alignment horizontal="center" vertical="center" wrapText="1" readingOrder="2"/>
    </xf>
    <xf numFmtId="0" fontId="69" fillId="0" borderId="134" xfId="96" applyFont="1" applyBorder="1" applyAlignment="1">
      <alignment horizontal="center" vertical="center" wrapText="1" readingOrder="2"/>
    </xf>
    <xf numFmtId="0" fontId="69" fillId="0" borderId="92" xfId="96" applyFont="1" applyFill="1" applyBorder="1" applyAlignment="1">
      <alignment horizontal="center" vertical="center" wrapText="1" readingOrder="2"/>
    </xf>
    <xf numFmtId="0" fontId="69" fillId="0" borderId="5" xfId="96" applyFont="1" applyFill="1" applyBorder="1" applyAlignment="1">
      <alignment horizontal="center" vertical="center" wrapText="1" readingOrder="2"/>
    </xf>
    <xf numFmtId="0" fontId="69" fillId="0" borderId="229" xfId="96" applyFont="1" applyBorder="1" applyAlignment="1">
      <alignment horizontal="center" vertical="center" wrapText="1" readingOrder="2"/>
    </xf>
    <xf numFmtId="0" fontId="69" fillId="0" borderId="230" xfId="96" applyFont="1" applyBorder="1" applyAlignment="1">
      <alignment horizontal="center" vertical="center" wrapText="1" readingOrder="2"/>
    </xf>
    <xf numFmtId="0" fontId="69" fillId="0" borderId="231" xfId="96" applyFont="1" applyBorder="1" applyAlignment="1">
      <alignment horizontal="center" vertical="center" wrapText="1" readingOrder="2"/>
    </xf>
    <xf numFmtId="0" fontId="69" fillId="0" borderId="110" xfId="96" quotePrefix="1" applyFont="1" applyBorder="1" applyAlignment="1">
      <alignment horizontal="center" vertical="center" wrapText="1" readingOrder="2"/>
    </xf>
    <xf numFmtId="0" fontId="69" fillId="0" borderId="91" xfId="96" applyFont="1" applyFill="1" applyBorder="1" applyAlignment="1">
      <alignment horizontal="center" vertical="center" wrapText="1" readingOrder="2"/>
    </xf>
    <xf numFmtId="0" fontId="69" fillId="0" borderId="106" xfId="96" applyFont="1" applyFill="1" applyBorder="1" applyAlignment="1">
      <alignment horizontal="center" vertical="center" wrapText="1" readingOrder="2"/>
    </xf>
    <xf numFmtId="0" fontId="69" fillId="0" borderId="102" xfId="96" applyFont="1" applyFill="1" applyBorder="1" applyAlignment="1">
      <alignment horizontal="center" vertical="center" wrapText="1" readingOrder="2"/>
    </xf>
    <xf numFmtId="0" fontId="69" fillId="0" borderId="105" xfId="96" applyFont="1" applyFill="1" applyBorder="1" applyAlignment="1">
      <alignment horizontal="center" vertical="center" wrapText="1" readingOrder="2"/>
    </xf>
    <xf numFmtId="0" fontId="69" fillId="0" borderId="104" xfId="96" applyFont="1" applyBorder="1" applyAlignment="1">
      <alignment horizontal="center" vertical="center" wrapText="1" readingOrder="2"/>
    </xf>
    <xf numFmtId="0" fontId="69" fillId="0" borderId="102" xfId="96" applyFont="1" applyBorder="1" applyAlignment="1">
      <alignment horizontal="center" vertical="center" wrapText="1" readingOrder="2"/>
    </xf>
    <xf numFmtId="0" fontId="69" fillId="0" borderId="101" xfId="96" applyFont="1" applyBorder="1" applyAlignment="1">
      <alignment horizontal="center" vertical="center" wrapText="1" readingOrder="2"/>
    </xf>
    <xf numFmtId="0" fontId="69" fillId="0" borderId="103" xfId="96" applyFont="1" applyBorder="1" applyAlignment="1">
      <alignment horizontal="center" vertical="center" wrapText="1" readingOrder="2"/>
    </xf>
    <xf numFmtId="0" fontId="69" fillId="0" borderId="232" xfId="96" applyFont="1" applyBorder="1" applyAlignment="1">
      <alignment horizontal="center" vertical="center" wrapText="1" readingOrder="2"/>
    </xf>
    <xf numFmtId="0" fontId="49" fillId="2" borderId="96" xfId="36" applyFont="1" applyFill="1" applyBorder="1" applyAlignment="1">
      <alignment horizontal="center" vertical="center" wrapText="1" readingOrder="2"/>
    </xf>
    <xf numFmtId="0" fontId="49" fillId="2" borderId="73" xfId="36" applyFont="1" applyFill="1" applyBorder="1" applyAlignment="1">
      <alignment horizontal="center" vertical="center" wrapText="1" readingOrder="2"/>
    </xf>
    <xf numFmtId="0" fontId="49" fillId="2" borderId="95" xfId="36" applyFont="1" applyFill="1" applyBorder="1" applyAlignment="1">
      <alignment horizontal="center" vertical="center" wrapText="1" readingOrder="2"/>
    </xf>
    <xf numFmtId="0" fontId="81" fillId="0" borderId="90" xfId="96" applyFont="1" applyBorder="1" applyAlignment="1">
      <alignment horizontal="center" vertical="center" wrapText="1" readingOrder="2"/>
    </xf>
    <xf numFmtId="0" fontId="49" fillId="2" borderId="40" xfId="35" applyFont="1" applyFill="1" applyBorder="1" applyAlignment="1">
      <alignment horizontal="center" readingOrder="2"/>
    </xf>
    <xf numFmtId="0" fontId="49" fillId="2" borderId="39" xfId="35" applyFont="1" applyFill="1" applyBorder="1" applyAlignment="1">
      <alignment horizontal="center" readingOrder="2"/>
    </xf>
    <xf numFmtId="0" fontId="49" fillId="2" borderId="62" xfId="35" applyFont="1" applyFill="1" applyBorder="1" applyAlignment="1">
      <alignment horizontal="center" readingOrder="2"/>
    </xf>
    <xf numFmtId="0" fontId="49" fillId="2" borderId="37" xfId="35" applyFont="1" applyFill="1" applyBorder="1" applyAlignment="1">
      <alignment horizontal="center" readingOrder="2"/>
    </xf>
    <xf numFmtId="0" fontId="49" fillId="2" borderId="36" xfId="35" applyFont="1" applyFill="1" applyBorder="1" applyAlignment="1">
      <alignment horizontal="center" readingOrder="2"/>
    </xf>
    <xf numFmtId="0" fontId="49" fillId="2" borderId="26" xfId="35" applyFont="1" applyFill="1" applyBorder="1" applyAlignment="1">
      <alignment horizontal="center" readingOrder="2"/>
    </xf>
    <xf numFmtId="0" fontId="81" fillId="0" borderId="237" xfId="35" applyFont="1" applyFill="1" applyBorder="1" applyAlignment="1">
      <alignment horizontal="center" vertical="center" readingOrder="2"/>
    </xf>
    <xf numFmtId="0" fontId="17" fillId="0" borderId="238" xfId="96" applyFont="1" applyBorder="1" applyAlignment="1">
      <alignment horizontal="center" vertical="center" readingOrder="2"/>
    </xf>
    <xf numFmtId="0" fontId="17" fillId="0" borderId="239" xfId="96" applyFont="1" applyBorder="1" applyAlignment="1">
      <alignment horizontal="center" vertical="center" readingOrder="2"/>
    </xf>
    <xf numFmtId="0" fontId="17" fillId="0" borderId="240" xfId="96" applyFont="1" applyBorder="1" applyAlignment="1">
      <alignment horizontal="center" vertical="center" readingOrder="2"/>
    </xf>
    <xf numFmtId="3" fontId="17" fillId="0" borderId="241" xfId="96" applyNumberFormat="1" applyFont="1" applyFill="1" applyBorder="1" applyAlignment="1">
      <alignment horizontal="center" vertical="center" readingOrder="2"/>
    </xf>
    <xf numFmtId="3" fontId="17" fillId="0" borderId="237" xfId="96" applyNumberFormat="1" applyFont="1" applyFill="1" applyBorder="1" applyAlignment="1">
      <alignment horizontal="center" vertical="center" readingOrder="2"/>
    </xf>
    <xf numFmtId="0" fontId="81" fillId="2" borderId="242" xfId="35" applyFont="1" applyFill="1" applyBorder="1" applyAlignment="1">
      <alignment horizontal="center" vertical="center" readingOrder="2"/>
    </xf>
    <xf numFmtId="0" fontId="17" fillId="2" borderId="243" xfId="96" applyFont="1" applyFill="1" applyBorder="1" applyAlignment="1">
      <alignment horizontal="center" vertical="center" readingOrder="2"/>
    </xf>
    <xf numFmtId="0" fontId="17" fillId="2" borderId="244" xfId="96" applyFont="1" applyFill="1" applyBorder="1" applyAlignment="1">
      <alignment horizontal="center" vertical="center" readingOrder="2"/>
    </xf>
    <xf numFmtId="0" fontId="17" fillId="2" borderId="245" xfId="96" applyFont="1" applyFill="1" applyBorder="1" applyAlignment="1">
      <alignment horizontal="center" vertical="center" readingOrder="2"/>
    </xf>
    <xf numFmtId="3" fontId="17" fillId="2" borderId="246" xfId="96" applyNumberFormat="1" applyFont="1" applyFill="1" applyBorder="1" applyAlignment="1">
      <alignment horizontal="center" vertical="center" readingOrder="2"/>
    </xf>
    <xf numFmtId="3" fontId="17" fillId="0" borderId="242" xfId="96" applyNumberFormat="1" applyFont="1" applyFill="1" applyBorder="1" applyAlignment="1">
      <alignment horizontal="center" vertical="center" readingOrder="2"/>
    </xf>
    <xf numFmtId="0" fontId="17" fillId="0" borderId="243" xfId="96" applyFont="1" applyBorder="1" applyAlignment="1">
      <alignment horizontal="center" vertical="center" readingOrder="2"/>
    </xf>
    <xf numFmtId="0" fontId="17" fillId="0" borderId="244" xfId="96" applyFont="1" applyBorder="1" applyAlignment="1">
      <alignment horizontal="center" vertical="center" readingOrder="2"/>
    </xf>
    <xf numFmtId="0" fontId="17" fillId="0" borderId="245" xfId="96" applyFont="1" applyBorder="1" applyAlignment="1">
      <alignment horizontal="center" vertical="center" readingOrder="2"/>
    </xf>
    <xf numFmtId="0" fontId="17" fillId="0" borderId="243" xfId="96" applyFont="1" applyFill="1" applyBorder="1" applyAlignment="1">
      <alignment horizontal="center" vertical="center" readingOrder="2"/>
    </xf>
    <xf numFmtId="0" fontId="17" fillId="0" borderId="244" xfId="96" applyFont="1" applyFill="1" applyBorder="1" applyAlignment="1">
      <alignment horizontal="center" vertical="center" readingOrder="2"/>
    </xf>
    <xf numFmtId="0" fontId="17" fillId="0" borderId="245" xfId="96" applyFont="1" applyFill="1" applyBorder="1" applyAlignment="1">
      <alignment horizontal="center" vertical="center" readingOrder="2"/>
    </xf>
    <xf numFmtId="3" fontId="17" fillId="0" borderId="246" xfId="96" applyNumberFormat="1" applyFont="1" applyFill="1" applyBorder="1" applyAlignment="1">
      <alignment horizontal="center" vertical="center" readingOrder="2"/>
    </xf>
    <xf numFmtId="0" fontId="17" fillId="0" borderId="247" xfId="96" applyFont="1" applyFill="1" applyBorder="1" applyAlignment="1">
      <alignment horizontal="center" vertical="center" readingOrder="2"/>
    </xf>
    <xf numFmtId="0" fontId="17" fillId="0" borderId="248" xfId="96" applyFont="1" applyFill="1" applyBorder="1" applyAlignment="1">
      <alignment horizontal="center" vertical="center" readingOrder="2"/>
    </xf>
    <xf numFmtId="0" fontId="17" fillId="0" borderId="249" xfId="96" applyFont="1" applyFill="1" applyBorder="1" applyAlignment="1">
      <alignment horizontal="center" vertical="center" readingOrder="2"/>
    </xf>
    <xf numFmtId="3" fontId="17" fillId="0" borderId="250" xfId="96" applyNumberFormat="1" applyFont="1" applyFill="1" applyBorder="1" applyAlignment="1">
      <alignment horizontal="center" vertical="center" readingOrder="2"/>
    </xf>
    <xf numFmtId="3" fontId="17" fillId="0" borderId="251" xfId="96" applyNumberFormat="1" applyFont="1" applyFill="1" applyBorder="1" applyAlignment="1">
      <alignment horizontal="center" vertical="center" readingOrder="2"/>
    </xf>
    <xf numFmtId="0" fontId="81" fillId="2" borderId="252" xfId="35" applyFont="1" applyFill="1" applyBorder="1" applyAlignment="1">
      <alignment horizontal="center" vertical="center" readingOrder="2"/>
    </xf>
    <xf numFmtId="0" fontId="17" fillId="0" borderId="253" xfId="96" applyFont="1" applyFill="1" applyBorder="1" applyAlignment="1">
      <alignment horizontal="center" vertical="center" readingOrder="2"/>
    </xf>
    <xf numFmtId="0" fontId="17" fillId="0" borderId="254" xfId="96" applyFont="1" applyFill="1" applyBorder="1" applyAlignment="1">
      <alignment horizontal="center" vertical="center" readingOrder="2"/>
    </xf>
    <xf numFmtId="0" fontId="166" fillId="2" borderId="59" xfId="35" applyFont="1" applyFill="1" applyBorder="1" applyAlignment="1">
      <alignment horizontal="center" vertical="center" readingOrder="2"/>
    </xf>
    <xf numFmtId="0" fontId="166" fillId="2" borderId="7" xfId="35" applyFont="1" applyFill="1" applyBorder="1" applyAlignment="1">
      <alignment horizontal="center" vertical="center" readingOrder="2"/>
    </xf>
    <xf numFmtId="3" fontId="166" fillId="2" borderId="7" xfId="35" applyNumberFormat="1" applyFont="1" applyFill="1" applyBorder="1" applyAlignment="1">
      <alignment horizontal="center" vertical="center" readingOrder="2"/>
    </xf>
    <xf numFmtId="3" fontId="166" fillId="2" borderId="44" xfId="35" applyNumberFormat="1" applyFont="1" applyFill="1" applyBorder="1" applyAlignment="1">
      <alignment horizontal="center" vertical="center" readingOrder="2"/>
    </xf>
    <xf numFmtId="0" fontId="69" fillId="2" borderId="44" xfId="93" applyFont="1" applyFill="1" applyBorder="1" applyAlignment="1">
      <alignment horizontal="center" vertical="center" wrapText="1" readingOrder="2"/>
    </xf>
    <xf numFmtId="0" fontId="106" fillId="2" borderId="60" xfId="93" applyFont="1" applyFill="1" applyBorder="1" applyAlignment="1">
      <alignment horizontal="right" vertical="center" wrapText="1" readingOrder="2"/>
    </xf>
    <xf numFmtId="0" fontId="69" fillId="2" borderId="109" xfId="93" applyFont="1" applyFill="1" applyBorder="1" applyAlignment="1">
      <alignment horizontal="center" vertical="center" wrapText="1" readingOrder="2"/>
    </xf>
    <xf numFmtId="0" fontId="69" fillId="2" borderId="5" xfId="93" applyFont="1" applyFill="1" applyBorder="1" applyAlignment="1">
      <alignment horizontal="center" vertical="center" wrapText="1" readingOrder="2"/>
    </xf>
    <xf numFmtId="0" fontId="69" fillId="2" borderId="6" xfId="93" applyFont="1" applyFill="1" applyBorder="1" applyAlignment="1">
      <alignment horizontal="center" vertical="center" wrapText="1" readingOrder="2"/>
    </xf>
    <xf numFmtId="0" fontId="69" fillId="2" borderId="108" xfId="93" applyFont="1" applyFill="1" applyBorder="1" applyAlignment="1">
      <alignment horizontal="center" vertical="center" wrapText="1" readingOrder="2"/>
    </xf>
    <xf numFmtId="0" fontId="69" fillId="2" borderId="229" xfId="93" applyFont="1" applyFill="1" applyBorder="1" applyAlignment="1">
      <alignment horizontal="center" vertical="center" wrapText="1" readingOrder="2"/>
    </xf>
    <xf numFmtId="0" fontId="49" fillId="2" borderId="229" xfId="93" applyFont="1" applyFill="1" applyBorder="1" applyAlignment="1">
      <alignment horizontal="center" vertical="center" wrapText="1" readingOrder="2"/>
    </xf>
    <xf numFmtId="0" fontId="43" fillId="0" borderId="46" xfId="48" applyFont="1" applyFill="1" applyBorder="1" applyAlignment="1">
      <alignment horizontal="center" vertical="center"/>
    </xf>
    <xf numFmtId="0" fontId="43" fillId="0" borderId="0" xfId="48" applyFont="1" applyFill="1" applyBorder="1" applyAlignment="1">
      <alignment horizontal="center" vertical="center"/>
    </xf>
    <xf numFmtId="0" fontId="170" fillId="0" borderId="15" xfId="93" applyFont="1" applyBorder="1" applyAlignment="1">
      <alignment horizontal="center" vertical="center"/>
    </xf>
    <xf numFmtId="0" fontId="170" fillId="0" borderId="16" xfId="93" applyFont="1" applyBorder="1" applyAlignment="1">
      <alignment horizontal="center" vertical="center"/>
    </xf>
    <xf numFmtId="0" fontId="170" fillId="0" borderId="16" xfId="93" applyFont="1" applyBorder="1" applyAlignment="1">
      <alignment horizontal="center" vertical="center" wrapText="1"/>
    </xf>
    <xf numFmtId="0" fontId="170" fillId="0" borderId="18" xfId="93" applyFont="1" applyBorder="1" applyAlignment="1">
      <alignment horizontal="center" vertical="center"/>
    </xf>
    <xf numFmtId="0" fontId="4" fillId="0" borderId="15" xfId="93" applyBorder="1" applyAlignment="1">
      <alignment horizontal="center" vertical="center"/>
    </xf>
    <xf numFmtId="0" fontId="92" fillId="0" borderId="16" xfId="93" applyFont="1" applyBorder="1" applyAlignment="1">
      <alignment horizontal="center" vertical="center"/>
    </xf>
    <xf numFmtId="185" fontId="92" fillId="0" borderId="16" xfId="93" applyNumberFormat="1" applyFont="1" applyBorder="1" applyAlignment="1">
      <alignment horizontal="center" vertical="center"/>
    </xf>
    <xf numFmtId="186" fontId="92" fillId="0" borderId="16" xfId="93" applyNumberFormat="1" applyFont="1" applyBorder="1" applyAlignment="1">
      <alignment horizontal="center" vertical="center"/>
    </xf>
    <xf numFmtId="185" fontId="92" fillId="0" borderId="18" xfId="93" applyNumberFormat="1" applyFont="1" applyBorder="1" applyAlignment="1">
      <alignment horizontal="center" vertical="center"/>
    </xf>
    <xf numFmtId="3" fontId="171" fillId="0" borderId="0" xfId="101" applyNumberFormat="1" applyFont="1" applyFill="1" applyBorder="1" applyAlignment="1">
      <alignment horizontal="center" vertical="center"/>
    </xf>
    <xf numFmtId="3" fontId="7" fillId="0" borderId="0" xfId="48" applyNumberFormat="1" applyFont="1" applyFill="1"/>
    <xf numFmtId="187" fontId="7" fillId="0" borderId="0" xfId="48" applyNumberFormat="1" applyFont="1" applyFill="1"/>
    <xf numFmtId="188" fontId="92" fillId="0" borderId="16" xfId="93" applyNumberFormat="1" applyFont="1" applyBorder="1" applyAlignment="1">
      <alignment horizontal="center" vertical="center"/>
    </xf>
    <xf numFmtId="0" fontId="4" fillId="0" borderId="53" xfId="93" applyBorder="1" applyAlignment="1">
      <alignment horizontal="center" vertical="center"/>
    </xf>
    <xf numFmtId="0" fontId="172" fillId="0" borderId="29" xfId="93" applyFont="1" applyBorder="1" applyAlignment="1">
      <alignment horizontal="center" vertical="center"/>
    </xf>
    <xf numFmtId="185" fontId="172" fillId="0" borderId="29" xfId="93" applyNumberFormat="1" applyFont="1" applyBorder="1" applyAlignment="1">
      <alignment horizontal="center" vertical="center"/>
    </xf>
    <xf numFmtId="186" fontId="92" fillId="0" borderId="29" xfId="93" applyNumberFormat="1" applyFont="1" applyBorder="1" applyAlignment="1">
      <alignment horizontal="center" vertical="center"/>
    </xf>
    <xf numFmtId="185" fontId="172" fillId="0" borderId="28" xfId="93" applyNumberFormat="1" applyFont="1" applyBorder="1" applyAlignment="1">
      <alignment horizontal="center" vertical="center"/>
    </xf>
    <xf numFmtId="0" fontId="4" fillId="0" borderId="0" xfId="93" applyAlignment="1">
      <alignment horizontal="center" vertical="center"/>
    </xf>
    <xf numFmtId="0" fontId="7" fillId="0" borderId="0" xfId="48" applyFont="1" applyFill="1" applyAlignment="1">
      <alignment horizontal="center" vertical="center"/>
    </xf>
    <xf numFmtId="0" fontId="16" fillId="0" borderId="0" xfId="48" applyFont="1" applyFill="1" applyBorder="1" applyAlignment="1">
      <alignment horizontal="center" vertical="center"/>
    </xf>
    <xf numFmtId="187" fontId="7" fillId="0" borderId="0" xfId="48" applyNumberFormat="1" applyFont="1" applyFill="1" applyAlignment="1">
      <alignment horizontal="center" vertical="center"/>
    </xf>
    <xf numFmtId="3" fontId="7" fillId="0" borderId="0" xfId="48" applyNumberFormat="1" applyFont="1" applyFill="1" applyAlignment="1">
      <alignment horizontal="center" vertical="center"/>
    </xf>
    <xf numFmtId="3" fontId="4" fillId="0" borderId="0" xfId="93" applyNumberFormat="1" applyAlignment="1">
      <alignment horizontal="center" vertical="center"/>
    </xf>
    <xf numFmtId="0" fontId="175" fillId="0" borderId="0" xfId="48" applyFont="1" applyAlignment="1"/>
    <xf numFmtId="0" fontId="159" fillId="0" borderId="0" xfId="48" applyFont="1" applyAlignment="1">
      <alignment horizontal="center" vertical="center" wrapText="1"/>
    </xf>
    <xf numFmtId="0" fontId="175" fillId="0" borderId="0" xfId="48" applyFont="1" applyAlignment="1">
      <alignment horizontal="center" vertical="center" wrapText="1"/>
    </xf>
    <xf numFmtId="0" fontId="176" fillId="0" borderId="0" xfId="48" applyFont="1" applyBorder="1" applyAlignment="1">
      <alignment horizontal="right"/>
    </xf>
    <xf numFmtId="3" fontId="177" fillId="0" borderId="0" xfId="101" applyNumberFormat="1" applyFont="1" applyFill="1" applyBorder="1" applyAlignment="1" applyProtection="1">
      <alignment horizontal="center" vertical="center"/>
    </xf>
    <xf numFmtId="9" fontId="175" fillId="0" borderId="0" xfId="94" applyFont="1" applyFill="1" applyBorder="1"/>
    <xf numFmtId="4" fontId="171" fillId="0" borderId="0" xfId="101" applyNumberFormat="1" applyFont="1" applyFill="1" applyBorder="1" applyAlignment="1" applyProtection="1">
      <alignment horizontal="center" vertical="center"/>
    </xf>
    <xf numFmtId="3" fontId="171" fillId="0" borderId="0" xfId="101" applyNumberFormat="1" applyFont="1" applyFill="1" applyBorder="1" applyAlignment="1" applyProtection="1">
      <alignment horizontal="center" vertical="center"/>
    </xf>
    <xf numFmtId="10" fontId="171" fillId="0" borderId="0" xfId="101" applyNumberFormat="1" applyFont="1" applyFill="1" applyBorder="1" applyAlignment="1">
      <alignment horizontal="center" vertical="center"/>
    </xf>
    <xf numFmtId="3" fontId="175" fillId="0" borderId="0" xfId="48" applyNumberFormat="1" applyFont="1"/>
    <xf numFmtId="0" fontId="175" fillId="0" borderId="0" xfId="48" applyFont="1" applyFill="1" applyBorder="1"/>
    <xf numFmtId="187" fontId="175" fillId="0" borderId="0" xfId="48" applyNumberFormat="1" applyFont="1"/>
    <xf numFmtId="3" fontId="178" fillId="0" borderId="0" xfId="48" applyNumberFormat="1" applyFont="1"/>
    <xf numFmtId="0" fontId="179" fillId="0" borderId="0" xfId="48" applyFont="1"/>
    <xf numFmtId="1" fontId="179" fillId="0" borderId="0" xfId="48" applyNumberFormat="1" applyFont="1"/>
    <xf numFmtId="0" fontId="10" fillId="0" borderId="16" xfId="48" applyFont="1" applyFill="1" applyBorder="1" applyAlignment="1">
      <alignment horizontal="center" vertical="center" readingOrder="2"/>
    </xf>
    <xf numFmtId="0" fontId="10" fillId="2" borderId="16" xfId="48" applyFont="1" applyFill="1" applyBorder="1" applyAlignment="1">
      <alignment horizontal="center" vertical="center" readingOrder="2"/>
    </xf>
    <xf numFmtId="0" fontId="10" fillId="0" borderId="16" xfId="48" applyFont="1" applyFill="1" applyBorder="1" applyAlignment="1">
      <alignment horizontal="center" vertical="center"/>
    </xf>
    <xf numFmtId="3" fontId="7" fillId="0" borderId="0" xfId="48" applyNumberFormat="1" applyFont="1" applyFill="1" applyBorder="1"/>
    <xf numFmtId="185" fontId="86" fillId="0" borderId="16" xfId="101" applyNumberFormat="1" applyFont="1" applyFill="1" applyBorder="1" applyAlignment="1">
      <alignment horizontal="center" vertical="center" readingOrder="2"/>
    </xf>
    <xf numFmtId="185" fontId="86" fillId="0" borderId="22" xfId="101" applyNumberFormat="1" applyFont="1" applyFill="1" applyBorder="1" applyAlignment="1">
      <alignment horizontal="center" vertical="center" readingOrder="2"/>
    </xf>
    <xf numFmtId="185" fontId="180" fillId="0" borderId="16" xfId="48" applyNumberFormat="1" applyFont="1" applyFill="1" applyBorder="1" applyAlignment="1">
      <alignment horizontal="center" vertical="center"/>
    </xf>
    <xf numFmtId="3" fontId="10" fillId="0" borderId="0" xfId="101" applyNumberFormat="1" applyFont="1" applyFill="1" applyBorder="1" applyAlignment="1">
      <alignment horizontal="center" vertical="center"/>
    </xf>
    <xf numFmtId="0" fontId="4" fillId="0" borderId="0" xfId="101"/>
    <xf numFmtId="0" fontId="10" fillId="0" borderId="0" xfId="101" applyFont="1" applyFill="1" applyBorder="1" applyAlignment="1">
      <alignment horizontal="center" vertical="center"/>
    </xf>
    <xf numFmtId="3" fontId="57" fillId="0" borderId="0" xfId="101" applyNumberFormat="1" applyFont="1" applyFill="1" applyBorder="1" applyAlignment="1">
      <alignment horizontal="center" vertical="center"/>
    </xf>
    <xf numFmtId="3" fontId="69" fillId="0" borderId="0" xfId="101" applyNumberFormat="1" applyFont="1" applyFill="1" applyBorder="1" applyAlignment="1">
      <alignment horizontal="center" vertical="center"/>
    </xf>
    <xf numFmtId="185" fontId="180" fillId="0" borderId="16" xfId="48" applyNumberFormat="1" applyFont="1" applyFill="1" applyBorder="1" applyAlignment="1">
      <alignment horizontal="center" vertical="center" readingOrder="2"/>
    </xf>
    <xf numFmtId="3" fontId="4" fillId="0" borderId="0" xfId="101" applyNumberFormat="1"/>
    <xf numFmtId="185" fontId="180" fillId="0" borderId="22" xfId="48" applyNumberFormat="1" applyFont="1" applyFill="1" applyBorder="1" applyAlignment="1">
      <alignment horizontal="center" vertical="center" readingOrder="2"/>
    </xf>
    <xf numFmtId="185" fontId="86" fillId="0" borderId="17" xfId="101" applyNumberFormat="1" applyFont="1" applyFill="1" applyBorder="1" applyAlignment="1">
      <alignment horizontal="center" vertical="center" readingOrder="2"/>
    </xf>
    <xf numFmtId="185" fontId="180" fillId="0" borderId="17" xfId="48" applyNumberFormat="1" applyFont="1" applyFill="1" applyBorder="1" applyAlignment="1">
      <alignment horizontal="center" vertical="center" readingOrder="2"/>
    </xf>
    <xf numFmtId="185" fontId="86" fillId="0" borderId="0" xfId="101" applyNumberFormat="1" applyFont="1" applyFill="1" applyAlignment="1">
      <alignment horizontal="center" vertical="center" readingOrder="2"/>
    </xf>
    <xf numFmtId="185" fontId="180" fillId="2" borderId="16" xfId="48" applyNumberFormat="1" applyFont="1" applyFill="1" applyBorder="1" applyAlignment="1">
      <alignment horizontal="center" vertical="center" readingOrder="2"/>
    </xf>
    <xf numFmtId="185" fontId="86" fillId="2" borderId="16" xfId="101" applyNumberFormat="1" applyFont="1" applyFill="1" applyBorder="1" applyAlignment="1">
      <alignment horizontal="center" vertical="center" readingOrder="2"/>
    </xf>
    <xf numFmtId="185" fontId="180" fillId="0" borderId="16" xfId="101" applyNumberFormat="1" applyFont="1" applyFill="1" applyBorder="1" applyAlignment="1">
      <alignment horizontal="center" vertical="center" readingOrder="2"/>
    </xf>
    <xf numFmtId="3" fontId="16" fillId="0" borderId="0" xfId="101" applyNumberFormat="1" applyFont="1" applyFill="1" applyBorder="1" applyAlignment="1">
      <alignment vertical="center"/>
    </xf>
    <xf numFmtId="0" fontId="16" fillId="0" borderId="0" xfId="101" applyFont="1" applyFill="1" applyBorder="1" applyAlignment="1">
      <alignment vertical="center"/>
    </xf>
    <xf numFmtId="0" fontId="7" fillId="0" borderId="0" xfId="48" applyFont="1" applyFill="1" applyAlignment="1">
      <alignment readingOrder="2"/>
    </xf>
    <xf numFmtId="0" fontId="7" fillId="2" borderId="0" xfId="48" applyFont="1" applyFill="1" applyAlignment="1">
      <alignment readingOrder="2"/>
    </xf>
    <xf numFmtId="3" fontId="49" fillId="0" borderId="0" xfId="101" applyNumberFormat="1" applyFont="1" applyFill="1" applyBorder="1" applyAlignment="1">
      <alignment horizontal="center"/>
    </xf>
    <xf numFmtId="0" fontId="7" fillId="0" borderId="0" xfId="48" applyFont="1" applyFill="1" applyBorder="1" applyAlignment="1">
      <alignment readingOrder="2"/>
    </xf>
    <xf numFmtId="0" fontId="23" fillId="0" borderId="16" xfId="1" applyFont="1" applyFill="1" applyBorder="1" applyAlignment="1">
      <alignment horizontal="center" vertical="center" textRotation="90"/>
    </xf>
    <xf numFmtId="0" fontId="18" fillId="0" borderId="16" xfId="1" applyFont="1" applyFill="1" applyBorder="1" applyAlignment="1">
      <alignment horizontal="center" vertical="center" textRotation="90"/>
    </xf>
    <xf numFmtId="0" fontId="10" fillId="0" borderId="15" xfId="1" applyFont="1" applyFill="1" applyBorder="1" applyAlignment="1">
      <alignment horizontal="center" vertical="center"/>
    </xf>
    <xf numFmtId="185" fontId="120" fillId="0" borderId="16" xfId="101" applyNumberFormat="1" applyFont="1" applyFill="1" applyBorder="1" applyAlignment="1" applyProtection="1">
      <alignment horizontal="center" wrapText="1" readingOrder="1"/>
      <protection locked="0"/>
    </xf>
    <xf numFmtId="185" fontId="120" fillId="0" borderId="16" xfId="102" applyNumberFormat="1" applyFont="1" applyFill="1" applyBorder="1" applyAlignment="1" applyProtection="1">
      <alignment horizontal="center" wrapText="1" readingOrder="1"/>
      <protection locked="0"/>
    </xf>
    <xf numFmtId="185" fontId="120" fillId="26" borderId="16" xfId="102" applyNumberFormat="1" applyFont="1" applyFill="1" applyBorder="1" applyAlignment="1" applyProtection="1">
      <alignment horizontal="center" wrapText="1" readingOrder="1"/>
      <protection locked="0"/>
    </xf>
    <xf numFmtId="185" fontId="69" fillId="0" borderId="16" xfId="101" applyNumberFormat="1" applyFont="1" applyBorder="1" applyAlignment="1">
      <alignment horizontal="center" readingOrder="2"/>
    </xf>
    <xf numFmtId="185" fontId="10" fillId="0" borderId="16" xfId="1" applyNumberFormat="1" applyFont="1" applyFill="1" applyBorder="1" applyAlignment="1">
      <alignment horizontal="center"/>
    </xf>
    <xf numFmtId="185" fontId="10" fillId="0" borderId="18" xfId="1" applyNumberFormat="1" applyFont="1" applyFill="1" applyBorder="1" applyAlignment="1">
      <alignment horizontal="center"/>
    </xf>
    <xf numFmtId="0" fontId="10" fillId="0" borderId="53" xfId="1" applyFont="1" applyFill="1" applyBorder="1" applyAlignment="1">
      <alignment horizontal="center" vertical="center"/>
    </xf>
    <xf numFmtId="185" fontId="120" fillId="0" borderId="29" xfId="102" applyNumberFormat="1" applyFont="1" applyFill="1" applyBorder="1" applyAlignment="1" applyProtection="1">
      <alignment horizontal="center" wrapText="1" readingOrder="1"/>
      <protection locked="0"/>
    </xf>
    <xf numFmtId="185" fontId="120" fillId="26" borderId="29" xfId="102" applyNumberFormat="1" applyFont="1" applyFill="1" applyBorder="1" applyAlignment="1" applyProtection="1">
      <alignment horizontal="center" wrapText="1" readingOrder="1"/>
      <protection locked="0"/>
    </xf>
    <xf numFmtId="185" fontId="69" fillId="0" borderId="29" xfId="101" applyNumberFormat="1" applyFont="1" applyBorder="1" applyAlignment="1">
      <alignment horizontal="center" readingOrder="2"/>
    </xf>
    <xf numFmtId="185" fontId="10" fillId="2" borderId="29" xfId="1" applyNumberFormat="1" applyFont="1" applyFill="1" applyBorder="1" applyAlignment="1">
      <alignment horizontal="center"/>
    </xf>
    <xf numFmtId="185" fontId="10" fillId="0" borderId="28" xfId="1" applyNumberFormat="1" applyFont="1" applyFill="1" applyBorder="1" applyAlignment="1">
      <alignment horizontal="center"/>
    </xf>
    <xf numFmtId="0" fontId="10" fillId="0" borderId="16" xfId="1" applyFont="1" applyFill="1" applyBorder="1" applyAlignment="1">
      <alignment horizontal="center" vertical="center" readingOrder="2"/>
    </xf>
    <xf numFmtId="0" fontId="7" fillId="0" borderId="16" xfId="1" applyFont="1" applyFill="1" applyBorder="1" applyAlignment="1">
      <alignment horizontal="center" vertical="center" readingOrder="2"/>
    </xf>
    <xf numFmtId="189" fontId="7" fillId="0" borderId="16" xfId="1" applyNumberFormat="1" applyFont="1" applyFill="1" applyBorder="1" applyAlignment="1">
      <alignment horizontal="center" vertical="center" readingOrder="2"/>
    </xf>
    <xf numFmtId="189" fontId="182" fillId="0" borderId="16" xfId="101" applyNumberFormat="1" applyFont="1" applyBorder="1" applyAlignment="1">
      <alignment horizontal="center" vertical="center" readingOrder="2"/>
    </xf>
    <xf numFmtId="189" fontId="10" fillId="0" borderId="16" xfId="1" applyNumberFormat="1" applyFont="1" applyFill="1" applyBorder="1" applyAlignment="1">
      <alignment horizontal="center" vertical="center" readingOrder="2"/>
    </xf>
    <xf numFmtId="0" fontId="23" fillId="0" borderId="16" xfId="1" applyFont="1" applyFill="1" applyBorder="1" applyAlignment="1">
      <alignment horizontal="center" vertical="center"/>
    </xf>
    <xf numFmtId="185" fontId="12" fillId="0" borderId="16" xfId="1" applyNumberFormat="1" applyFont="1" applyFill="1" applyBorder="1" applyAlignment="1">
      <alignment horizontal="center" vertical="center"/>
    </xf>
    <xf numFmtId="9" fontId="47" fillId="0" borderId="16" xfId="1" applyNumberFormat="1" applyFont="1" applyFill="1" applyBorder="1" applyAlignment="1">
      <alignment horizontal="center" vertical="center"/>
    </xf>
    <xf numFmtId="9" fontId="12" fillId="0" borderId="16" xfId="1" applyNumberFormat="1" applyFont="1" applyFill="1" applyBorder="1" applyAlignment="1">
      <alignment horizontal="center" vertical="center"/>
    </xf>
    <xf numFmtId="174" fontId="12" fillId="0" borderId="16" xfId="1" applyNumberFormat="1" applyFont="1" applyFill="1" applyBorder="1" applyAlignment="1">
      <alignment horizontal="center" vertical="center"/>
    </xf>
    <xf numFmtId="174" fontId="47" fillId="0" borderId="16" xfId="1" applyNumberFormat="1" applyFont="1" applyFill="1" applyBorder="1" applyAlignment="1">
      <alignment horizontal="center" vertical="center"/>
    </xf>
    <xf numFmtId="10" fontId="12" fillId="0" borderId="16" xfId="1" applyNumberFormat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 textRotation="90"/>
    </xf>
    <xf numFmtId="0" fontId="4" fillId="0" borderId="31" xfId="101" applyBorder="1" applyAlignment="1">
      <alignment horizontal="center" vertical="center"/>
    </xf>
    <xf numFmtId="185" fontId="18" fillId="0" borderId="8" xfId="1" applyNumberFormat="1" applyFont="1" applyFill="1" applyBorder="1" applyAlignment="1">
      <alignment horizontal="center" vertical="center"/>
    </xf>
    <xf numFmtId="185" fontId="18" fillId="0" borderId="9" xfId="1" applyNumberFormat="1" applyFont="1" applyFill="1" applyBorder="1" applyAlignment="1">
      <alignment horizontal="center" vertical="center"/>
    </xf>
    <xf numFmtId="185" fontId="18" fillId="0" borderId="9" xfId="1" applyNumberFormat="1" applyFont="1" applyFill="1" applyBorder="1" applyAlignment="1">
      <alignment horizontal="center" vertical="center" readingOrder="2"/>
    </xf>
    <xf numFmtId="185" fontId="57" fillId="0" borderId="9" xfId="101" applyNumberFormat="1" applyFont="1" applyBorder="1" applyAlignment="1">
      <alignment horizontal="center" vertical="center" readingOrder="2"/>
    </xf>
    <xf numFmtId="185" fontId="57" fillId="0" borderId="11" xfId="101" applyNumberFormat="1" applyFont="1" applyBorder="1" applyAlignment="1">
      <alignment horizontal="center" vertical="center" readingOrder="2"/>
    </xf>
    <xf numFmtId="185" fontId="18" fillId="0" borderId="15" xfId="1" applyNumberFormat="1" applyFont="1" applyFill="1" applyBorder="1" applyAlignment="1">
      <alignment horizontal="center" vertical="center"/>
    </xf>
    <xf numFmtId="185" fontId="18" fillId="0" borderId="16" xfId="1" applyNumberFormat="1" applyFont="1" applyFill="1" applyBorder="1" applyAlignment="1">
      <alignment horizontal="center" vertical="center"/>
    </xf>
    <xf numFmtId="185" fontId="18" fillId="0" borderId="16" xfId="1" applyNumberFormat="1" applyFont="1" applyFill="1" applyBorder="1" applyAlignment="1">
      <alignment horizontal="center" vertical="center" readingOrder="2"/>
    </xf>
    <xf numFmtId="185" fontId="57" fillId="0" borderId="16" xfId="101" applyNumberFormat="1" applyFont="1" applyBorder="1" applyAlignment="1">
      <alignment horizontal="center" vertical="center" readingOrder="2"/>
    </xf>
    <xf numFmtId="185" fontId="57" fillId="0" borderId="18" xfId="101" applyNumberFormat="1" applyFont="1" applyBorder="1" applyAlignment="1">
      <alignment horizontal="center" vertical="center" readingOrder="2"/>
    </xf>
    <xf numFmtId="0" fontId="10" fillId="0" borderId="66" xfId="1" applyFont="1" applyFill="1" applyBorder="1" applyAlignment="1">
      <alignment horizontal="center" vertical="center"/>
    </xf>
    <xf numFmtId="185" fontId="18" fillId="0" borderId="53" xfId="1" applyNumberFormat="1" applyFont="1" applyFill="1" applyBorder="1" applyAlignment="1">
      <alignment horizontal="center" vertical="center"/>
    </xf>
    <xf numFmtId="185" fontId="18" fillId="0" borderId="29" xfId="1" applyNumberFormat="1" applyFont="1" applyFill="1" applyBorder="1" applyAlignment="1">
      <alignment horizontal="center" vertical="center"/>
    </xf>
    <xf numFmtId="185" fontId="18" fillId="0" borderId="29" xfId="1" applyNumberFormat="1" applyFont="1" applyFill="1" applyBorder="1" applyAlignment="1">
      <alignment horizontal="center" vertical="center" readingOrder="2"/>
    </xf>
    <xf numFmtId="185" fontId="57" fillId="0" borderId="29" xfId="101" applyNumberFormat="1" applyFont="1" applyBorder="1" applyAlignment="1">
      <alignment horizontal="center" vertical="center" readingOrder="2"/>
    </xf>
    <xf numFmtId="185" fontId="57" fillId="0" borderId="28" xfId="101" applyNumberFormat="1" applyFont="1" applyBorder="1" applyAlignment="1">
      <alignment horizontal="center" vertical="center" readingOrder="2"/>
    </xf>
    <xf numFmtId="0" fontId="23" fillId="0" borderId="18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 readingOrder="2"/>
    </xf>
    <xf numFmtId="185" fontId="99" fillId="0" borderId="16" xfId="101" applyNumberFormat="1" applyFont="1" applyBorder="1" applyAlignment="1">
      <alignment horizontal="center" vertical="center" readingOrder="2"/>
    </xf>
    <xf numFmtId="185" fontId="23" fillId="0" borderId="18" xfId="1" applyNumberFormat="1" applyFont="1" applyFill="1" applyBorder="1" applyAlignment="1">
      <alignment horizontal="center" vertical="center" readingOrder="2"/>
    </xf>
    <xf numFmtId="185" fontId="44" fillId="0" borderId="16" xfId="1" applyNumberFormat="1" applyFont="1" applyFill="1" applyBorder="1" applyAlignment="1">
      <alignment horizontal="center" vertical="center" readingOrder="2"/>
    </xf>
    <xf numFmtId="0" fontId="10" fillId="0" borderId="53" xfId="1" applyFont="1" applyFill="1" applyBorder="1" applyAlignment="1">
      <alignment horizontal="center" vertical="center" readingOrder="2"/>
    </xf>
    <xf numFmtId="185" fontId="23" fillId="0" borderId="29" xfId="1" applyNumberFormat="1" applyFont="1" applyFill="1" applyBorder="1" applyAlignment="1">
      <alignment horizontal="center" vertical="center" readingOrder="2"/>
    </xf>
    <xf numFmtId="185" fontId="16" fillId="0" borderId="29" xfId="1" applyNumberFormat="1" applyFont="1" applyFill="1" applyBorder="1" applyAlignment="1">
      <alignment horizontal="center" vertical="center" readingOrder="2"/>
    </xf>
    <xf numFmtId="185" fontId="23" fillId="0" borderId="28" xfId="1" applyNumberFormat="1" applyFont="1" applyFill="1" applyBorder="1" applyAlignment="1">
      <alignment horizontal="center" vertical="center" readingOrder="2"/>
    </xf>
    <xf numFmtId="0" fontId="7" fillId="0" borderId="0" xfId="101" applyFont="1" applyFill="1"/>
    <xf numFmtId="0" fontId="72" fillId="0" borderId="0" xfId="103" applyFont="1" applyBorder="1" applyAlignment="1">
      <alignment vertical="center"/>
    </xf>
    <xf numFmtId="0" fontId="7" fillId="0" borderId="0" xfId="103" applyFont="1"/>
    <xf numFmtId="0" fontId="7" fillId="0" borderId="0" xfId="103" applyFont="1" applyBorder="1"/>
    <xf numFmtId="0" fontId="12" fillId="0" borderId="8" xfId="103" applyFont="1" applyFill="1" applyBorder="1" applyAlignment="1">
      <alignment horizontal="center" vertical="center"/>
    </xf>
    <xf numFmtId="0" fontId="12" fillId="0" borderId="9" xfId="103" applyFont="1" applyFill="1" applyBorder="1" applyAlignment="1">
      <alignment horizontal="center" vertical="center"/>
    </xf>
    <xf numFmtId="0" fontId="12" fillId="0" borderId="11" xfId="103" applyFont="1" applyFill="1" applyBorder="1" applyAlignment="1">
      <alignment horizontal="center" vertical="center"/>
    </xf>
    <xf numFmtId="0" fontId="18" fillId="0" borderId="63" xfId="103" applyFont="1" applyFill="1" applyBorder="1" applyAlignment="1">
      <alignment horizontal="center" vertical="center"/>
    </xf>
    <xf numFmtId="0" fontId="18" fillId="0" borderId="9" xfId="103" applyFont="1" applyFill="1" applyBorder="1" applyAlignment="1">
      <alignment horizontal="center" vertical="center"/>
    </xf>
    <xf numFmtId="0" fontId="18" fillId="0" borderId="11" xfId="103" applyFont="1" applyFill="1" applyBorder="1" applyAlignment="1">
      <alignment horizontal="center" vertical="center"/>
    </xf>
    <xf numFmtId="0" fontId="12" fillId="0" borderId="15" xfId="103" applyFont="1" applyFill="1" applyBorder="1" applyAlignment="1">
      <alignment horizontal="center" vertical="center"/>
    </xf>
    <xf numFmtId="0" fontId="12" fillId="0" borderId="16" xfId="103" applyFont="1" applyFill="1" applyBorder="1" applyAlignment="1">
      <alignment horizontal="center" vertical="center"/>
    </xf>
    <xf numFmtId="0" fontId="12" fillId="0" borderId="18" xfId="103" applyFont="1" applyFill="1" applyBorder="1" applyAlignment="1">
      <alignment horizontal="center" vertical="center"/>
    </xf>
    <xf numFmtId="0" fontId="57" fillId="2" borderId="22" xfId="103" applyFont="1" applyFill="1" applyBorder="1" applyAlignment="1">
      <alignment horizontal="center" vertical="center" readingOrder="2"/>
    </xf>
    <xf numFmtId="0" fontId="57" fillId="2" borderId="16" xfId="103" applyFont="1" applyFill="1" applyBorder="1" applyAlignment="1">
      <alignment horizontal="center" readingOrder="2"/>
    </xf>
    <xf numFmtId="0" fontId="57" fillId="2" borderId="18" xfId="103" applyFont="1" applyFill="1" applyBorder="1" applyAlignment="1">
      <alignment horizontal="center" vertical="center" readingOrder="2"/>
    </xf>
    <xf numFmtId="0" fontId="5" fillId="2" borderId="15" xfId="103" applyFont="1" applyFill="1" applyBorder="1" applyAlignment="1">
      <alignment horizontal="center" vertical="center" readingOrder="2"/>
    </xf>
    <xf numFmtId="0" fontId="5" fillId="2" borderId="16" xfId="103" applyFont="1" applyFill="1" applyBorder="1" applyAlignment="1">
      <alignment horizontal="center" readingOrder="2"/>
    </xf>
    <xf numFmtId="0" fontId="5" fillId="2" borderId="18" xfId="103" applyFont="1" applyFill="1" applyBorder="1" applyAlignment="1">
      <alignment horizontal="center" vertical="center" readingOrder="2"/>
    </xf>
    <xf numFmtId="0" fontId="18" fillId="0" borderId="22" xfId="103" applyFont="1" applyFill="1" applyBorder="1" applyAlignment="1">
      <alignment horizontal="center" vertical="center"/>
    </xf>
    <xf numFmtId="0" fontId="18" fillId="0" borderId="16" xfId="103" applyFont="1" applyFill="1" applyBorder="1" applyAlignment="1">
      <alignment horizontal="center" vertical="center"/>
    </xf>
    <xf numFmtId="0" fontId="18" fillId="0" borderId="18" xfId="103" applyFont="1" applyFill="1" applyBorder="1" applyAlignment="1">
      <alignment horizontal="center" vertical="center"/>
    </xf>
    <xf numFmtId="0" fontId="12" fillId="0" borderId="53" xfId="103" applyFont="1" applyFill="1" applyBorder="1" applyAlignment="1">
      <alignment horizontal="center" vertical="center"/>
    </xf>
    <xf numFmtId="0" fontId="12" fillId="0" borderId="29" xfId="103" applyFont="1" applyFill="1" applyBorder="1" applyAlignment="1">
      <alignment horizontal="center" vertical="center"/>
    </xf>
    <xf numFmtId="0" fontId="12" fillId="0" borderId="28" xfId="103" applyFont="1" applyFill="1" applyBorder="1" applyAlignment="1">
      <alignment horizontal="center" vertical="center"/>
    </xf>
    <xf numFmtId="0" fontId="18" fillId="0" borderId="67" xfId="103" applyFont="1" applyFill="1" applyBorder="1" applyAlignment="1">
      <alignment horizontal="center" vertical="center"/>
    </xf>
    <xf numFmtId="0" fontId="18" fillId="0" borderId="29" xfId="103" applyFont="1" applyFill="1" applyBorder="1" applyAlignment="1">
      <alignment horizontal="center" vertical="center"/>
    </xf>
    <xf numFmtId="0" fontId="18" fillId="0" borderId="28" xfId="103" applyFont="1" applyFill="1" applyBorder="1" applyAlignment="1">
      <alignment horizontal="center" vertical="center"/>
    </xf>
    <xf numFmtId="0" fontId="10" fillId="0" borderId="68" xfId="103" applyFont="1" applyFill="1" applyBorder="1" applyAlignment="1">
      <alignment horizontal="center" vertical="center"/>
    </xf>
    <xf numFmtId="0" fontId="12" fillId="0" borderId="43" xfId="103" applyFont="1" applyFill="1" applyBorder="1" applyAlignment="1">
      <alignment horizontal="center" vertical="center"/>
    </xf>
    <xf numFmtId="0" fontId="12" fillId="0" borderId="36" xfId="103" applyFont="1" applyFill="1" applyBorder="1" applyAlignment="1">
      <alignment horizontal="center" vertical="center"/>
    </xf>
    <xf numFmtId="0" fontId="12" fillId="0" borderId="35" xfId="103" applyFont="1" applyFill="1" applyBorder="1" applyAlignment="1">
      <alignment horizontal="center" vertical="center"/>
    </xf>
    <xf numFmtId="0" fontId="18" fillId="0" borderId="43" xfId="103" applyFont="1" applyFill="1" applyBorder="1" applyAlignment="1">
      <alignment horizontal="center" vertical="center"/>
    </xf>
    <xf numFmtId="0" fontId="18" fillId="0" borderId="36" xfId="103" applyFont="1" applyFill="1" applyBorder="1" applyAlignment="1">
      <alignment horizontal="center" vertical="center"/>
    </xf>
    <xf numFmtId="0" fontId="18" fillId="0" borderId="35" xfId="103" applyFont="1" applyFill="1" applyBorder="1" applyAlignment="1">
      <alignment horizontal="center" vertical="center"/>
    </xf>
    <xf numFmtId="0" fontId="54" fillId="0" borderId="0" xfId="103" applyFont="1" applyAlignment="1">
      <alignment horizontal="right"/>
    </xf>
    <xf numFmtId="0" fontId="59" fillId="2" borderId="9" xfId="103" applyFont="1" applyFill="1" applyBorder="1" applyAlignment="1">
      <alignment horizontal="center" vertical="center" readingOrder="2"/>
    </xf>
    <xf numFmtId="0" fontId="57" fillId="2" borderId="9" xfId="103" applyFont="1" applyFill="1" applyBorder="1" applyAlignment="1">
      <alignment horizontal="center" vertical="center" readingOrder="2"/>
    </xf>
    <xf numFmtId="0" fontId="59" fillId="2" borderId="29" xfId="103" applyFont="1" applyFill="1" applyBorder="1" applyAlignment="1">
      <alignment horizontal="center" vertical="center"/>
    </xf>
    <xf numFmtId="0" fontId="57" fillId="2" borderId="29" xfId="103" applyFont="1" applyFill="1" applyBorder="1" applyAlignment="1">
      <alignment horizontal="center" vertical="center"/>
    </xf>
    <xf numFmtId="0" fontId="175" fillId="0" borderId="0" xfId="103" applyFont="1" applyFill="1"/>
    <xf numFmtId="0" fontId="10" fillId="0" borderId="7" xfId="103" applyFont="1" applyFill="1" applyBorder="1" applyAlignment="1">
      <alignment horizontal="center" vertical="center"/>
    </xf>
    <xf numFmtId="0" fontId="10" fillId="0" borderId="44" xfId="103" applyFont="1" applyFill="1" applyBorder="1" applyAlignment="1">
      <alignment horizontal="center" vertical="center"/>
    </xf>
    <xf numFmtId="0" fontId="10" fillId="0" borderId="25" xfId="103" applyFont="1" applyFill="1" applyBorder="1" applyAlignment="1">
      <alignment horizontal="center" vertical="center"/>
    </xf>
    <xf numFmtId="0" fontId="7" fillId="0" borderId="0" xfId="103" applyFont="1" applyFill="1"/>
    <xf numFmtId="0" fontId="16" fillId="0" borderId="8" xfId="103" applyFont="1" applyFill="1" applyBorder="1" applyAlignment="1">
      <alignment horizontal="center" vertical="center"/>
    </xf>
    <xf numFmtId="0" fontId="12" fillId="0" borderId="32" xfId="103" applyFont="1" applyFill="1" applyBorder="1" applyAlignment="1">
      <alignment horizontal="center" vertical="center"/>
    </xf>
    <xf numFmtId="0" fontId="94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57" fillId="0" borderId="0" xfId="104" applyFont="1" applyFill="1" applyAlignment="1">
      <alignment vertical="center"/>
    </xf>
    <xf numFmtId="0" fontId="7" fillId="10" borderId="38" xfId="2" applyFont="1" applyFill="1" applyBorder="1" applyAlignment="1">
      <alignment horizontal="center" vertical="justify"/>
    </xf>
    <xf numFmtId="0" fontId="18" fillId="10" borderId="69" xfId="2" applyFont="1" applyFill="1" applyBorder="1" applyAlignment="1">
      <alignment horizontal="center" vertical="center"/>
    </xf>
    <xf numFmtId="0" fontId="12" fillId="10" borderId="68" xfId="2" applyFont="1" applyFill="1" applyBorder="1" applyAlignment="1">
      <alignment horizontal="center" vertical="center"/>
    </xf>
    <xf numFmtId="0" fontId="7" fillId="10" borderId="41" xfId="2" applyFont="1" applyFill="1" applyBorder="1" applyAlignment="1">
      <alignment horizontal="center" vertical="justify"/>
    </xf>
    <xf numFmtId="0" fontId="18" fillId="10" borderId="51" xfId="2" applyFont="1" applyFill="1" applyBorder="1" applyAlignment="1">
      <alignment horizontal="center" vertical="center"/>
    </xf>
    <xf numFmtId="0" fontId="12" fillId="10" borderId="59" xfId="2" applyFont="1" applyFill="1" applyBorder="1" applyAlignment="1">
      <alignment horizontal="center" vertical="center"/>
    </xf>
    <xf numFmtId="1" fontId="126" fillId="0" borderId="8" xfId="104" applyNumberFormat="1" applyFont="1" applyFill="1" applyBorder="1" applyAlignment="1">
      <alignment vertical="center"/>
    </xf>
    <xf numFmtId="1" fontId="126" fillId="0" borderId="10" xfId="104" applyNumberFormat="1" applyFont="1" applyFill="1" applyBorder="1" applyAlignment="1">
      <alignment vertical="center"/>
    </xf>
    <xf numFmtId="0" fontId="69" fillId="0" borderId="2" xfId="1" applyFont="1" applyFill="1" applyBorder="1" applyAlignment="1">
      <alignment horizontal="center" vertical="top" wrapText="1" readingOrder="2"/>
    </xf>
    <xf numFmtId="1" fontId="12" fillId="0" borderId="46" xfId="2" applyNumberFormat="1" applyFont="1" applyFill="1" applyBorder="1" applyAlignment="1">
      <alignment horizontal="right" vertical="center"/>
    </xf>
    <xf numFmtId="1" fontId="12" fillId="0" borderId="11" xfId="104" applyNumberFormat="1" applyFont="1" applyFill="1" applyBorder="1" applyAlignment="1">
      <alignment horizontal="right" vertical="center"/>
    </xf>
    <xf numFmtId="0" fontId="120" fillId="0" borderId="14" xfId="104" applyFont="1" applyFill="1" applyBorder="1" applyAlignment="1">
      <alignment horizontal="center" vertical="center" readingOrder="2"/>
    </xf>
    <xf numFmtId="2" fontId="7" fillId="0" borderId="0" xfId="2" applyNumberFormat="1" applyFont="1" applyFill="1" applyAlignment="1">
      <alignment vertical="center"/>
    </xf>
    <xf numFmtId="1" fontId="126" fillId="0" borderId="15" xfId="104" applyNumberFormat="1" applyFont="1" applyFill="1" applyBorder="1" applyAlignment="1">
      <alignment vertical="center"/>
    </xf>
    <xf numFmtId="1" fontId="126" fillId="0" borderId="17" xfId="104" applyNumberFormat="1" applyFont="1" applyFill="1" applyBorder="1" applyAlignment="1">
      <alignment vertical="center"/>
    </xf>
    <xf numFmtId="0" fontId="69" fillId="0" borderId="20" xfId="1" applyFont="1" applyFill="1" applyBorder="1" applyAlignment="1">
      <alignment horizontal="center" vertical="top" wrapText="1" readingOrder="2"/>
    </xf>
    <xf numFmtId="1" fontId="12" fillId="0" borderId="15" xfId="2" applyNumberFormat="1" applyFont="1" applyFill="1" applyBorder="1" applyAlignment="1">
      <alignment horizontal="right" vertical="center"/>
    </xf>
    <xf numFmtId="1" fontId="12" fillId="0" borderId="18" xfId="104" applyNumberFormat="1" applyFont="1" applyFill="1" applyBorder="1" applyAlignment="1">
      <alignment horizontal="right" vertical="center"/>
    </xf>
    <xf numFmtId="0" fontId="120" fillId="0" borderId="19" xfId="104" applyFont="1" applyFill="1" applyBorder="1" applyAlignment="1">
      <alignment horizontal="center" vertical="center" readingOrder="2"/>
    </xf>
    <xf numFmtId="0" fontId="69" fillId="0" borderId="46" xfId="1" applyFont="1" applyFill="1" applyBorder="1" applyAlignment="1">
      <alignment horizontal="center" vertical="top" wrapText="1" readingOrder="2"/>
    </xf>
    <xf numFmtId="1" fontId="12" fillId="0" borderId="48" xfId="2" applyNumberFormat="1" applyFont="1" applyFill="1" applyBorder="1" applyAlignment="1">
      <alignment horizontal="right" vertical="center"/>
    </xf>
    <xf numFmtId="0" fontId="69" fillId="0" borderId="19" xfId="1" applyFont="1" applyFill="1" applyBorder="1" applyAlignment="1">
      <alignment horizontal="center" vertical="top" wrapText="1" readingOrder="2"/>
    </xf>
    <xf numFmtId="1" fontId="12" fillId="0" borderId="15" xfId="1" applyNumberFormat="1" applyFont="1" applyBorder="1" applyAlignment="1">
      <alignment horizontal="right" vertical="top" wrapText="1" readingOrder="2"/>
    </xf>
    <xf numFmtId="0" fontId="120" fillId="0" borderId="66" xfId="104" applyFont="1" applyFill="1" applyBorder="1" applyAlignment="1">
      <alignment horizontal="center" vertical="center" readingOrder="2"/>
    </xf>
    <xf numFmtId="1" fontId="12" fillId="0" borderId="25" xfId="1" applyNumberFormat="1" applyFont="1" applyBorder="1" applyAlignment="1">
      <alignment horizontal="right" vertical="top" wrapText="1"/>
    </xf>
    <xf numFmtId="1" fontId="12" fillId="0" borderId="28" xfId="104" applyNumberFormat="1" applyFont="1" applyFill="1" applyBorder="1" applyAlignment="1">
      <alignment horizontal="right" vertical="center"/>
    </xf>
    <xf numFmtId="0" fontId="120" fillId="0" borderId="30" xfId="104" applyFont="1" applyFill="1" applyBorder="1" applyAlignment="1">
      <alignment horizontal="center" vertical="center" readingOrder="2"/>
    </xf>
    <xf numFmtId="3" fontId="183" fillId="0" borderId="0" xfId="1" applyNumberFormat="1" applyFont="1" applyAlignment="1">
      <alignment horizontal="center" vertical="top" wrapText="1"/>
    </xf>
    <xf numFmtId="1" fontId="126" fillId="0" borderId="68" xfId="104" applyNumberFormat="1" applyFont="1" applyFill="1" applyBorder="1" applyAlignment="1">
      <alignment vertical="center"/>
    </xf>
    <xf numFmtId="1" fontId="126" fillId="0" borderId="7" xfId="104" applyNumberFormat="1" applyFont="1" applyFill="1" applyBorder="1" applyAlignment="1">
      <alignment vertical="center"/>
    </xf>
    <xf numFmtId="0" fontId="23" fillId="0" borderId="68" xfId="2" applyFont="1" applyFill="1" applyBorder="1" applyAlignment="1">
      <alignment horizontal="center" vertical="center" readingOrder="2"/>
    </xf>
    <xf numFmtId="1" fontId="59" fillId="0" borderId="41" xfId="105" applyNumberFormat="1" applyFont="1" applyFill="1" applyBorder="1" applyAlignment="1">
      <alignment horizontal="right" vertical="center"/>
    </xf>
    <xf numFmtId="1" fontId="59" fillId="0" borderId="6" xfId="105" applyNumberFormat="1" applyFont="1" applyFill="1" applyBorder="1" applyAlignment="1">
      <alignment horizontal="right" vertical="center"/>
    </xf>
    <xf numFmtId="0" fontId="23" fillId="0" borderId="44" xfId="2" applyFont="1" applyFill="1" applyBorder="1" applyAlignment="1">
      <alignment horizontal="center" vertical="center" readingOrder="2"/>
    </xf>
    <xf numFmtId="1" fontId="7" fillId="0" borderId="0" xfId="106" applyNumberFormat="1" applyFont="1" applyFill="1" applyBorder="1" applyAlignment="1">
      <alignment horizontal="right" vertical="center"/>
    </xf>
    <xf numFmtId="0" fontId="7" fillId="0" borderId="0" xfId="106" applyFont="1" applyFill="1" applyBorder="1" applyAlignment="1">
      <alignment vertical="center"/>
    </xf>
    <xf numFmtId="1" fontId="7" fillId="0" borderId="0" xfId="2" applyNumberFormat="1" applyFont="1" applyFill="1" applyAlignment="1">
      <alignment vertical="center"/>
    </xf>
    <xf numFmtId="0" fontId="94" fillId="2" borderId="0" xfId="2" applyFont="1" applyFill="1" applyBorder="1" applyAlignment="1">
      <alignment vertical="center"/>
    </xf>
    <xf numFmtId="0" fontId="12" fillId="10" borderId="44" xfId="2" applyFont="1" applyFill="1" applyBorder="1" applyAlignment="1">
      <alignment horizontal="center" vertical="center"/>
    </xf>
    <xf numFmtId="0" fontId="12" fillId="10" borderId="58" xfId="2" applyFont="1" applyFill="1" applyBorder="1" applyAlignment="1">
      <alignment horizontal="center" vertical="center"/>
    </xf>
    <xf numFmtId="0" fontId="12" fillId="10" borderId="44" xfId="106" applyFont="1" applyFill="1" applyBorder="1" applyAlignment="1">
      <alignment horizontal="center" vertical="center"/>
    </xf>
    <xf numFmtId="1" fontId="12" fillId="0" borderId="56" xfId="1" applyNumberFormat="1" applyFont="1" applyFill="1" applyBorder="1" applyAlignment="1">
      <alignment horizontal="center"/>
    </xf>
    <xf numFmtId="1" fontId="12" fillId="0" borderId="56" xfId="1" applyNumberFormat="1" applyFont="1" applyBorder="1" applyAlignment="1">
      <alignment horizontal="center"/>
    </xf>
    <xf numFmtId="1" fontId="12" fillId="0" borderId="19" xfId="1" applyNumberFormat="1" applyFont="1" applyFill="1" applyBorder="1" applyAlignment="1">
      <alignment horizontal="center"/>
    </xf>
    <xf numFmtId="1" fontId="12" fillId="0" borderId="19" xfId="1" applyNumberFormat="1" applyFont="1" applyBorder="1" applyAlignment="1">
      <alignment horizontal="center"/>
    </xf>
    <xf numFmtId="1" fontId="126" fillId="0" borderId="30" xfId="104" applyNumberFormat="1" applyFont="1" applyFill="1" applyBorder="1" applyAlignment="1">
      <alignment horizontal="center" vertical="center"/>
    </xf>
    <xf numFmtId="1" fontId="59" fillId="0" borderId="44" xfId="105" applyNumberFormat="1" applyFont="1" applyFill="1" applyBorder="1" applyAlignment="1">
      <alignment horizontal="center" vertical="center"/>
    </xf>
    <xf numFmtId="1" fontId="7" fillId="0" borderId="0" xfId="2" applyNumberFormat="1" applyFont="1" applyFill="1" applyAlignment="1">
      <alignment horizontal="right" vertical="center"/>
    </xf>
    <xf numFmtId="0" fontId="7" fillId="0" borderId="0" xfId="2" applyFont="1" applyAlignment="1">
      <alignment vertical="center"/>
    </xf>
    <xf numFmtId="0" fontId="94" fillId="2" borderId="0" xfId="2" applyFont="1" applyFill="1" applyAlignment="1">
      <alignment vertical="center"/>
    </xf>
    <xf numFmtId="0" fontId="12" fillId="10" borderId="57" xfId="2" applyFont="1" applyFill="1" applyBorder="1" applyAlignment="1">
      <alignment vertical="center"/>
    </xf>
    <xf numFmtId="0" fontId="10" fillId="0" borderId="74" xfId="1" applyFont="1" applyBorder="1" applyAlignment="1"/>
    <xf numFmtId="0" fontId="10" fillId="0" borderId="20" xfId="1" applyFont="1" applyBorder="1" applyAlignment="1"/>
    <xf numFmtId="1" fontId="126" fillId="0" borderId="30" xfId="104" applyNumberFormat="1" applyFont="1" applyBorder="1" applyAlignment="1">
      <alignment horizontal="center" vertical="center"/>
    </xf>
    <xf numFmtId="1" fontId="120" fillId="0" borderId="64" xfId="104" applyNumberFormat="1" applyFont="1" applyBorder="1" applyAlignment="1">
      <alignment vertical="center"/>
    </xf>
    <xf numFmtId="1" fontId="59" fillId="0" borderId="44" xfId="105" applyNumberFormat="1" applyFont="1" applyBorder="1" applyAlignment="1">
      <alignment horizontal="center" vertical="center"/>
    </xf>
    <xf numFmtId="1" fontId="81" fillId="0" borderId="60" xfId="105" applyNumberFormat="1" applyFont="1" applyBorder="1" applyAlignment="1">
      <alignment vertical="center"/>
    </xf>
    <xf numFmtId="1" fontId="59" fillId="0" borderId="25" xfId="105" applyNumberFormat="1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1" fontId="7" fillId="0" borderId="0" xfId="2" applyNumberFormat="1" applyFont="1" applyAlignment="1">
      <alignment vertical="center"/>
    </xf>
    <xf numFmtId="0" fontId="7" fillId="0" borderId="3" xfId="106" applyFont="1" applyBorder="1" applyAlignment="1">
      <alignment vertical="center"/>
    </xf>
    <xf numFmtId="0" fontId="7" fillId="0" borderId="0" xfId="106" applyFont="1" applyAlignment="1">
      <alignment vertical="center"/>
    </xf>
    <xf numFmtId="169" fontId="9" fillId="0" borderId="0" xfId="1" applyNumberFormat="1" applyFont="1" applyFill="1" applyAlignment="1">
      <alignment horizontal="center" vertical="center"/>
    </xf>
    <xf numFmtId="0" fontId="10" fillId="0" borderId="46" xfId="11" applyFont="1" applyFill="1" applyBorder="1" applyAlignment="1">
      <alignment horizontal="right" vertical="center" wrapText="1" indent="1"/>
    </xf>
    <xf numFmtId="3" fontId="69" fillId="0" borderId="8" xfId="11" applyNumberFormat="1" applyFont="1" applyFill="1" applyBorder="1" applyAlignment="1">
      <alignment horizontal="center" vertical="center"/>
    </xf>
    <xf numFmtId="3" fontId="69" fillId="0" borderId="9" xfId="11" applyNumberFormat="1" applyFont="1" applyFill="1" applyBorder="1" applyAlignment="1">
      <alignment horizontal="center" vertical="center"/>
    </xf>
    <xf numFmtId="3" fontId="69" fillId="0" borderId="15" xfId="11" applyNumberFormat="1" applyFont="1" applyFill="1" applyBorder="1" applyAlignment="1">
      <alignment horizontal="center" vertical="center"/>
    </xf>
    <xf numFmtId="3" fontId="69" fillId="0" borderId="16" xfId="11" applyNumberFormat="1" applyFont="1" applyFill="1" applyBorder="1" applyAlignment="1">
      <alignment horizontal="center" vertical="center"/>
    </xf>
    <xf numFmtId="3" fontId="69" fillId="0" borderId="32" xfId="11" applyNumberFormat="1" applyFont="1" applyFill="1" applyBorder="1" applyAlignment="1">
      <alignment horizontal="center" vertical="center"/>
    </xf>
    <xf numFmtId="9" fontId="69" fillId="0" borderId="35" xfId="94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/>
    </xf>
    <xf numFmtId="3" fontId="23" fillId="0" borderId="0" xfId="1" applyNumberFormat="1" applyFont="1" applyFill="1" applyAlignment="1">
      <alignment horizontal="center"/>
    </xf>
    <xf numFmtId="3" fontId="76" fillId="0" borderId="59" xfId="1" applyNumberFormat="1" applyFont="1" applyFill="1" applyBorder="1" applyAlignment="1">
      <alignment horizontal="right" vertical="center" inden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39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/>
    </xf>
    <xf numFmtId="0" fontId="10" fillId="0" borderId="8" xfId="11" applyFont="1" applyFill="1" applyBorder="1" applyAlignment="1">
      <alignment vertical="center" wrapText="1"/>
    </xf>
    <xf numFmtId="9" fontId="69" fillId="0" borderId="9" xfId="94" applyFont="1" applyFill="1" applyBorder="1" applyAlignment="1">
      <alignment horizontal="center" vertical="center"/>
    </xf>
    <xf numFmtId="9" fontId="69" fillId="0" borderId="11" xfId="94" applyFont="1" applyFill="1" applyBorder="1" applyAlignment="1">
      <alignment horizontal="center" vertical="center"/>
    </xf>
    <xf numFmtId="0" fontId="10" fillId="0" borderId="15" xfId="11" applyFont="1" applyFill="1" applyBorder="1" applyAlignment="1">
      <alignment vertical="center" wrapText="1"/>
    </xf>
    <xf numFmtId="9" fontId="69" fillId="0" borderId="16" xfId="94" applyFont="1" applyFill="1" applyBorder="1" applyAlignment="1">
      <alignment horizontal="center" vertical="center"/>
    </xf>
    <xf numFmtId="9" fontId="69" fillId="0" borderId="18" xfId="94" applyFont="1" applyFill="1" applyBorder="1" applyAlignment="1">
      <alignment horizontal="center" vertical="center"/>
    </xf>
    <xf numFmtId="0" fontId="10" fillId="0" borderId="15" xfId="11" applyFont="1" applyFill="1" applyBorder="1" applyAlignment="1">
      <alignment vertical="center"/>
    </xf>
    <xf numFmtId="0" fontId="185" fillId="0" borderId="15" xfId="11" applyFont="1" applyFill="1" applyBorder="1" applyAlignment="1">
      <alignment vertical="center" wrapText="1"/>
    </xf>
    <xf numFmtId="0" fontId="10" fillId="0" borderId="53" xfId="11" applyFont="1" applyFill="1" applyBorder="1" applyAlignment="1">
      <alignment vertical="center" wrapText="1"/>
    </xf>
    <xf numFmtId="3" fontId="69" fillId="0" borderId="29" xfId="11" applyNumberFormat="1" applyFont="1" applyFill="1" applyBorder="1" applyAlignment="1">
      <alignment horizontal="center" vertical="center"/>
    </xf>
    <xf numFmtId="0" fontId="23" fillId="0" borderId="59" xfId="1" applyFont="1" applyFill="1" applyBorder="1" applyAlignment="1">
      <alignment horizontal="center" vertical="center"/>
    </xf>
    <xf numFmtId="3" fontId="49" fillId="0" borderId="25" xfId="1" applyNumberFormat="1" applyFont="1" applyFill="1" applyBorder="1" applyAlignment="1">
      <alignment horizontal="center" vertical="center"/>
    </xf>
    <xf numFmtId="3" fontId="49" fillId="0" borderId="36" xfId="1" applyNumberFormat="1" applyFont="1" applyFill="1" applyBorder="1" applyAlignment="1">
      <alignment horizontal="center" vertical="center"/>
    </xf>
    <xf numFmtId="3" fontId="49" fillId="0" borderId="35" xfId="1" applyNumberFormat="1" applyFont="1" applyFill="1" applyBorder="1" applyAlignment="1">
      <alignment horizontal="center" vertical="center"/>
    </xf>
    <xf numFmtId="9" fontId="49" fillId="0" borderId="88" xfId="94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71" xfId="1" applyFont="1" applyFill="1" applyBorder="1" applyAlignment="1">
      <alignment horizontal="center" vertical="justify"/>
    </xf>
    <xf numFmtId="3" fontId="76" fillId="0" borderId="9" xfId="1" applyNumberFormat="1" applyFont="1" applyFill="1" applyBorder="1" applyAlignment="1">
      <alignment horizontal="right" vertical="center" indent="1"/>
    </xf>
    <xf numFmtId="3" fontId="76" fillId="2" borderId="9" xfId="1" applyNumberFormat="1" applyFont="1" applyFill="1" applyBorder="1" applyAlignment="1">
      <alignment horizontal="right" vertical="center" indent="1"/>
    </xf>
    <xf numFmtId="3" fontId="76" fillId="0" borderId="16" xfId="1" applyNumberFormat="1" applyFont="1" applyFill="1" applyBorder="1" applyAlignment="1">
      <alignment horizontal="right" vertical="center" indent="1"/>
    </xf>
    <xf numFmtId="3" fontId="76" fillId="2" borderId="16" xfId="1" applyNumberFormat="1" applyFont="1" applyFill="1" applyBorder="1" applyAlignment="1">
      <alignment horizontal="right" vertical="center" indent="1"/>
    </xf>
    <xf numFmtId="3" fontId="76" fillId="0" borderId="29" xfId="1" applyNumberFormat="1" applyFont="1" applyFill="1" applyBorder="1" applyAlignment="1">
      <alignment horizontal="right" vertical="center" indent="1"/>
    </xf>
    <xf numFmtId="0" fontId="43" fillId="0" borderId="0" xfId="48" applyFont="1" applyFill="1" applyBorder="1" applyAlignment="1">
      <alignment vertical="center"/>
    </xf>
    <xf numFmtId="0" fontId="23" fillId="0" borderId="44" xfId="48" applyFont="1" applyFill="1" applyBorder="1" applyAlignment="1">
      <alignment horizontal="center" vertical="center"/>
    </xf>
    <xf numFmtId="0" fontId="23" fillId="0" borderId="71" xfId="48" applyFont="1" applyFill="1" applyBorder="1" applyAlignment="1">
      <alignment horizontal="center" vertical="center"/>
    </xf>
    <xf numFmtId="1" fontId="28" fillId="2" borderId="0" xfId="48" applyNumberFormat="1" applyFont="1" applyFill="1" applyAlignment="1">
      <alignment horizontal="center"/>
    </xf>
    <xf numFmtId="1" fontId="28" fillId="2" borderId="46" xfId="48" applyNumberFormat="1" applyFont="1" applyFill="1" applyBorder="1" applyAlignment="1">
      <alignment horizontal="center" vertical="center"/>
    </xf>
    <xf numFmtId="0" fontId="28" fillId="2" borderId="0" xfId="48" applyFont="1" applyFill="1" applyAlignment="1">
      <alignment horizontal="center"/>
    </xf>
    <xf numFmtId="0" fontId="10" fillId="0" borderId="44" xfId="48" applyFont="1" applyFill="1" applyBorder="1" applyAlignment="1">
      <alignment horizontal="center" vertical="center"/>
    </xf>
    <xf numFmtId="0" fontId="11" fillId="0" borderId="0" xfId="48" applyFont="1" applyFill="1" applyBorder="1" applyAlignment="1">
      <alignment vertical="top"/>
    </xf>
    <xf numFmtId="180" fontId="7" fillId="0" borderId="0" xfId="3" applyNumberFormat="1" applyFont="1" applyFill="1" applyAlignment="1">
      <alignment vertical="center"/>
    </xf>
    <xf numFmtId="1" fontId="7" fillId="0" borderId="0" xfId="3" applyNumberFormat="1" applyFont="1" applyFill="1" applyAlignment="1">
      <alignment vertical="center"/>
    </xf>
    <xf numFmtId="0" fontId="17" fillId="19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1" fontId="12" fillId="2" borderId="17" xfId="1" applyNumberFormat="1" applyFont="1" applyFill="1" applyBorder="1" applyAlignment="1">
      <alignment horizontal="center" vertical="center"/>
    </xf>
    <xf numFmtId="166" fontId="12" fillId="0" borderId="0" xfId="3" applyNumberFormat="1" applyFont="1" applyFill="1" applyAlignment="1">
      <alignment vertical="center"/>
    </xf>
    <xf numFmtId="0" fontId="10" fillId="0" borderId="46" xfId="48" applyFont="1" applyFill="1" applyBorder="1" applyAlignment="1">
      <alignment horizontal="center" vertical="center"/>
    </xf>
    <xf numFmtId="0" fontId="18" fillId="2" borderId="17" xfId="5" applyFont="1" applyFill="1" applyBorder="1" applyAlignment="1">
      <alignment horizontal="right" vertical="center" indent="3"/>
    </xf>
    <xf numFmtId="0" fontId="18" fillId="2" borderId="18" xfId="5" applyFont="1" applyFill="1" applyBorder="1" applyAlignment="1">
      <alignment horizontal="right" vertical="center" indent="3"/>
    </xf>
    <xf numFmtId="0" fontId="33" fillId="2" borderId="42" xfId="5" applyFont="1" applyFill="1" applyBorder="1" applyAlignment="1">
      <alignment horizontal="right" vertical="center" indent="3"/>
    </xf>
    <xf numFmtId="0" fontId="1" fillId="0" borderId="0" xfId="346"/>
    <xf numFmtId="0" fontId="47" fillId="0" borderId="34" xfId="48" applyFont="1" applyFill="1" applyBorder="1" applyAlignment="1">
      <alignment horizontal="center" vertical="center"/>
    </xf>
    <xf numFmtId="1" fontId="47" fillId="0" borderId="2" xfId="5" applyNumberFormat="1" applyFont="1" applyFill="1" applyBorder="1" applyAlignment="1">
      <alignment horizontal="right" vertical="center" indent="2"/>
    </xf>
    <xf numFmtId="1" fontId="47" fillId="0" borderId="71" xfId="5" applyNumberFormat="1" applyFont="1" applyFill="1" applyBorder="1" applyAlignment="1">
      <alignment horizontal="right" vertical="center" indent="2"/>
    </xf>
    <xf numFmtId="1" fontId="47" fillId="0" borderId="46" xfId="5" applyNumberFormat="1" applyFont="1" applyFill="1" applyBorder="1" applyAlignment="1">
      <alignment horizontal="right" vertical="center" indent="2"/>
    </xf>
    <xf numFmtId="1" fontId="47" fillId="0" borderId="75" xfId="5" applyNumberFormat="1" applyFont="1" applyFill="1" applyBorder="1" applyAlignment="1">
      <alignment horizontal="right" vertical="center" indent="2"/>
    </xf>
    <xf numFmtId="1" fontId="70" fillId="0" borderId="75" xfId="347" applyNumberFormat="1" applyFont="1" applyBorder="1" applyAlignment="1">
      <alignment horizontal="right" indent="2"/>
    </xf>
    <xf numFmtId="1" fontId="70" fillId="0" borderId="75" xfId="5" applyNumberFormat="1" applyFont="1" applyFill="1" applyBorder="1" applyAlignment="1">
      <alignment horizontal="right" vertical="center" indent="2"/>
    </xf>
    <xf numFmtId="1" fontId="47" fillId="0" borderId="25" xfId="5" applyNumberFormat="1" applyFont="1" applyFill="1" applyBorder="1" applyAlignment="1">
      <alignment horizontal="right" vertical="center" indent="2"/>
    </xf>
    <xf numFmtId="1" fontId="70" fillId="0" borderId="59" xfId="5" applyNumberFormat="1" applyFont="1" applyFill="1" applyBorder="1" applyAlignment="1">
      <alignment horizontal="right" vertical="center" indent="2"/>
    </xf>
    <xf numFmtId="1" fontId="47" fillId="0" borderId="25" xfId="48" applyNumberFormat="1" applyFont="1" applyFill="1" applyBorder="1" applyAlignment="1">
      <alignment horizontal="right" vertical="center" indent="2"/>
    </xf>
    <xf numFmtId="1" fontId="47" fillId="0" borderId="59" xfId="48" applyNumberFormat="1" applyFont="1" applyFill="1" applyBorder="1" applyAlignment="1">
      <alignment horizontal="right" vertical="center" indent="2"/>
    </xf>
    <xf numFmtId="3" fontId="25" fillId="0" borderId="63" xfId="5" applyNumberFormat="1" applyFont="1" applyFill="1" applyBorder="1" applyAlignment="1">
      <alignment horizontal="center" vertical="center"/>
    </xf>
    <xf numFmtId="3" fontId="25" fillId="0" borderId="9" xfId="5" applyNumberFormat="1" applyFont="1" applyFill="1" applyBorder="1" applyAlignment="1">
      <alignment horizontal="center" vertical="center"/>
    </xf>
    <xf numFmtId="3" fontId="25" fillId="0" borderId="11" xfId="5" applyNumberFormat="1" applyFont="1" applyFill="1" applyBorder="1" applyAlignment="1">
      <alignment horizontal="center" vertical="center"/>
    </xf>
    <xf numFmtId="3" fontId="25" fillId="0" borderId="55" xfId="5" applyNumberFormat="1" applyFont="1" applyFill="1" applyBorder="1" applyAlignment="1">
      <alignment horizontal="center" vertical="center"/>
    </xf>
    <xf numFmtId="3" fontId="25" fillId="0" borderId="12" xfId="5" applyNumberFormat="1" applyFont="1" applyFill="1" applyBorder="1" applyAlignment="1">
      <alignment horizontal="center" vertical="center"/>
    </xf>
    <xf numFmtId="3" fontId="25" fillId="0" borderId="50" xfId="5" applyNumberFormat="1" applyFont="1" applyFill="1" applyBorder="1" applyAlignment="1">
      <alignment horizontal="center" vertical="center"/>
    </xf>
    <xf numFmtId="3" fontId="25" fillId="4" borderId="55" xfId="5" applyNumberFormat="1" applyFont="1" applyFill="1" applyBorder="1" applyAlignment="1">
      <alignment horizontal="center" vertical="center"/>
    </xf>
    <xf numFmtId="3" fontId="25" fillId="4" borderId="12" xfId="5" applyNumberFormat="1" applyFont="1" applyFill="1" applyBorder="1" applyAlignment="1">
      <alignment horizontal="center" vertical="center"/>
    </xf>
    <xf numFmtId="3" fontId="25" fillId="4" borderId="50" xfId="5" applyNumberFormat="1" applyFont="1" applyFill="1" applyBorder="1" applyAlignment="1">
      <alignment horizontal="center" vertical="center"/>
    </xf>
    <xf numFmtId="3" fontId="59" fillId="4" borderId="38" xfId="5" applyNumberFormat="1" applyFont="1" applyFill="1" applyBorder="1" applyAlignment="1">
      <alignment horizontal="center" vertical="center"/>
    </xf>
    <xf numFmtId="3" fontId="59" fillId="4" borderId="62" xfId="5" applyNumberFormat="1" applyFont="1" applyFill="1" applyBorder="1" applyAlignment="1">
      <alignment horizontal="center" vertical="center"/>
    </xf>
    <xf numFmtId="3" fontId="59" fillId="4" borderId="69" xfId="5" applyNumberFormat="1" applyFont="1" applyFill="1" applyBorder="1" applyAlignment="1">
      <alignment horizontal="center" vertical="center"/>
    </xf>
    <xf numFmtId="0" fontId="81" fillId="0" borderId="34" xfId="1" applyFont="1" applyFill="1" applyBorder="1" applyAlignment="1">
      <alignment horizontal="center" vertical="center"/>
    </xf>
    <xf numFmtId="0" fontId="81" fillId="0" borderId="11" xfId="1" applyFont="1" applyFill="1" applyBorder="1" applyAlignment="1">
      <alignment horizontal="center" vertical="center"/>
    </xf>
    <xf numFmtId="3" fontId="59" fillId="0" borderId="9" xfId="10" applyNumberFormat="1" applyFont="1" applyFill="1" applyBorder="1" applyAlignment="1">
      <alignment horizontal="right" vertical="center" indent="1"/>
    </xf>
    <xf numFmtId="10" fontId="59" fillId="0" borderId="14" xfId="1" applyNumberFormat="1" applyFont="1" applyFill="1" applyBorder="1" applyAlignment="1">
      <alignment horizontal="right" vertical="center" indent="1"/>
    </xf>
    <xf numFmtId="0" fontId="81" fillId="0" borderId="18" xfId="1" applyFont="1" applyFill="1" applyBorder="1" applyAlignment="1">
      <alignment horizontal="center" vertical="center"/>
    </xf>
    <xf numFmtId="3" fontId="59" fillId="0" borderId="16" xfId="10" applyNumberFormat="1" applyFont="1" applyFill="1" applyBorder="1" applyAlignment="1">
      <alignment horizontal="right" vertical="center" indent="1"/>
    </xf>
    <xf numFmtId="10" fontId="59" fillId="0" borderId="19" xfId="1" applyNumberFormat="1" applyFont="1" applyFill="1" applyBorder="1" applyAlignment="1">
      <alignment horizontal="right" vertical="center" indent="1"/>
    </xf>
    <xf numFmtId="0" fontId="81" fillId="0" borderId="28" xfId="1" applyFont="1" applyFill="1" applyBorder="1" applyAlignment="1">
      <alignment horizontal="center" vertical="center"/>
    </xf>
    <xf numFmtId="3" fontId="59" fillId="0" borderId="27" xfId="1" applyNumberFormat="1" applyFont="1" applyFill="1" applyBorder="1" applyAlignment="1">
      <alignment horizontal="right" vertical="center" indent="1"/>
    </xf>
    <xf numFmtId="10" fontId="59" fillId="0" borderId="56" xfId="1" applyNumberFormat="1" applyFont="1" applyFill="1" applyBorder="1" applyAlignment="1">
      <alignment horizontal="right" vertical="center" indent="1"/>
    </xf>
    <xf numFmtId="0" fontId="81" fillId="0" borderId="50" xfId="1" applyFont="1" applyFill="1" applyBorder="1" applyAlignment="1">
      <alignment horizontal="center" vertical="center"/>
    </xf>
    <xf numFmtId="0" fontId="81" fillId="0" borderId="31" xfId="1" applyFont="1" applyFill="1" applyBorder="1" applyAlignment="1">
      <alignment horizontal="center" vertical="center"/>
    </xf>
    <xf numFmtId="3" fontId="59" fillId="0" borderId="34" xfId="1" applyNumberFormat="1" applyFont="1" applyFill="1" applyBorder="1" applyAlignment="1">
      <alignment horizontal="right" vertical="center" indent="1"/>
    </xf>
    <xf numFmtId="1" fontId="59" fillId="0" borderId="6" xfId="1" applyNumberFormat="1" applyFont="1" applyFill="1" applyBorder="1" applyAlignment="1">
      <alignment horizontal="right" vertical="center" indent="1"/>
    </xf>
    <xf numFmtId="10" fontId="59" fillId="0" borderId="44" xfId="1" applyNumberFormat="1" applyFont="1" applyFill="1" applyBorder="1" applyAlignment="1">
      <alignment horizontal="right" vertical="center" indent="1"/>
    </xf>
    <xf numFmtId="0" fontId="69" fillId="0" borderId="29" xfId="5" applyFont="1" applyFill="1" applyBorder="1" applyAlignment="1">
      <alignment horizontal="center" vertical="center"/>
    </xf>
    <xf numFmtId="0" fontId="69" fillId="0" borderId="28" xfId="5" applyFont="1" applyFill="1" applyBorder="1" applyAlignment="1">
      <alignment horizontal="center" vertical="center"/>
    </xf>
    <xf numFmtId="0" fontId="25" fillId="0" borderId="10" xfId="5" applyFont="1" applyFill="1" applyBorder="1" applyAlignment="1">
      <alignment horizontal="center" vertical="center"/>
    </xf>
    <xf numFmtId="0" fontId="25" fillId="0" borderId="17" xfId="5" applyFont="1" applyFill="1" applyBorder="1" applyAlignment="1">
      <alignment horizontal="center" vertical="center"/>
    </xf>
    <xf numFmtId="0" fontId="25" fillId="0" borderId="27" xfId="5" applyFont="1" applyFill="1" applyBorder="1" applyAlignment="1">
      <alignment horizontal="center" vertical="center"/>
    </xf>
    <xf numFmtId="0" fontId="25" fillId="0" borderId="13" xfId="5" applyFont="1" applyFill="1" applyBorder="1" applyAlignment="1">
      <alignment horizontal="center" vertical="center"/>
    </xf>
    <xf numFmtId="0" fontId="25" fillId="0" borderId="34" xfId="5" applyFont="1" applyFill="1" applyBorder="1" applyAlignment="1">
      <alignment horizontal="center" vertical="center"/>
    </xf>
    <xf numFmtId="0" fontId="25" fillId="0" borderId="0" xfId="5" applyFont="1" applyFill="1" applyBorder="1" applyAlignment="1">
      <alignment horizontal="center" vertical="center"/>
    </xf>
    <xf numFmtId="0" fontId="25" fillId="0" borderId="11" xfId="5" applyFont="1" applyFill="1" applyBorder="1" applyAlignment="1">
      <alignment horizontal="center" vertical="center"/>
    </xf>
    <xf numFmtId="0" fontId="25" fillId="0" borderId="18" xfId="5" applyFont="1" applyFill="1" applyBorder="1" applyAlignment="1">
      <alignment horizontal="center" vertical="center"/>
    </xf>
    <xf numFmtId="0" fontId="25" fillId="0" borderId="31" xfId="5" applyFont="1" applyFill="1" applyBorder="1" applyAlignment="1">
      <alignment horizontal="center" vertical="center"/>
    </xf>
    <xf numFmtId="1" fontId="69" fillId="0" borderId="59" xfId="1" applyNumberFormat="1" applyFont="1" applyFill="1" applyBorder="1" applyAlignment="1">
      <alignment horizontal="center" vertical="center"/>
    </xf>
    <xf numFmtId="1" fontId="59" fillId="0" borderId="26" xfId="1" applyNumberFormat="1" applyFont="1" applyFill="1" applyBorder="1" applyAlignment="1">
      <alignment horizontal="center" vertical="center"/>
    </xf>
    <xf numFmtId="1" fontId="59" fillId="0" borderId="36" xfId="1" applyNumberFormat="1" applyFont="1" applyFill="1" applyBorder="1" applyAlignment="1">
      <alignment horizontal="center" vertical="center"/>
    </xf>
    <xf numFmtId="1" fontId="59" fillId="0" borderId="37" xfId="1" applyNumberFormat="1" applyFont="1" applyFill="1" applyBorder="1" applyAlignment="1">
      <alignment horizontal="center" vertical="center"/>
    </xf>
    <xf numFmtId="1" fontId="59" fillId="0" borderId="59" xfId="1" applyNumberFormat="1" applyFont="1" applyFill="1" applyBorder="1" applyAlignment="1">
      <alignment horizontal="center" vertical="center"/>
    </xf>
    <xf numFmtId="0" fontId="69" fillId="0" borderId="59" xfId="1" applyFont="1" applyFill="1" applyBorder="1" applyAlignment="1">
      <alignment horizontal="center" vertical="center"/>
    </xf>
    <xf numFmtId="1" fontId="59" fillId="0" borderId="26" xfId="12" applyNumberFormat="1" applyFont="1" applyFill="1" applyBorder="1" applyAlignment="1">
      <alignment horizontal="center" vertical="center"/>
    </xf>
    <xf numFmtId="1" fontId="59" fillId="4" borderId="36" xfId="12" applyNumberFormat="1" applyFont="1" applyFill="1" applyBorder="1" applyAlignment="1">
      <alignment horizontal="center" vertical="center"/>
    </xf>
    <xf numFmtId="1" fontId="59" fillId="0" borderId="36" xfId="12" applyNumberFormat="1" applyFont="1" applyFill="1" applyBorder="1" applyAlignment="1">
      <alignment horizontal="center" vertical="center"/>
    </xf>
    <xf numFmtId="1" fontId="59" fillId="0" borderId="37" xfId="12" applyNumberFormat="1" applyFont="1" applyFill="1" applyBorder="1" applyAlignment="1">
      <alignment horizontal="center" vertical="center"/>
    </xf>
    <xf numFmtId="1" fontId="59" fillId="4" borderId="37" xfId="12" applyNumberFormat="1" applyFont="1" applyFill="1" applyBorder="1" applyAlignment="1">
      <alignment horizontal="center" vertical="center"/>
    </xf>
    <xf numFmtId="1" fontId="59" fillId="0" borderId="30" xfId="1" applyNumberFormat="1" applyFont="1" applyFill="1" applyBorder="1" applyAlignment="1">
      <alignment horizontal="center" vertical="center"/>
    </xf>
    <xf numFmtId="0" fontId="57" fillId="2" borderId="17" xfId="5" applyFont="1" applyFill="1" applyBorder="1" applyAlignment="1">
      <alignment horizontal="right" vertical="center" indent="3"/>
    </xf>
    <xf numFmtId="3" fontId="59" fillId="0" borderId="42" xfId="1" applyNumberFormat="1" applyFont="1" applyFill="1" applyBorder="1" applyAlignment="1">
      <alignment horizontal="right" vertical="center" indent="2"/>
    </xf>
    <xf numFmtId="3" fontId="59" fillId="0" borderId="42" xfId="14" applyNumberFormat="1" applyFont="1" applyFill="1" applyBorder="1" applyAlignment="1">
      <alignment horizontal="right" vertical="center" indent="2"/>
    </xf>
    <xf numFmtId="3" fontId="59" fillId="0" borderId="0" xfId="1" applyNumberFormat="1" applyFont="1" applyFill="1" applyBorder="1" applyAlignment="1">
      <alignment horizontal="right" vertical="center" indent="2"/>
    </xf>
    <xf numFmtId="3" fontId="59" fillId="0" borderId="72" xfId="1" applyNumberFormat="1" applyFont="1" applyFill="1" applyBorder="1" applyAlignment="1">
      <alignment horizontal="right" vertical="center" indent="2"/>
    </xf>
    <xf numFmtId="3" fontId="59" fillId="0" borderId="43" xfId="1" applyNumberFormat="1" applyFont="1" applyFill="1" applyBorder="1" applyAlignment="1">
      <alignment horizontal="right" vertical="center" indent="2"/>
    </xf>
    <xf numFmtId="3" fontId="59" fillId="0" borderId="6" xfId="1" applyNumberFormat="1" applyFont="1" applyFill="1" applyBorder="1" applyAlignment="1">
      <alignment horizontal="right" vertical="center" indent="2"/>
    </xf>
    <xf numFmtId="0" fontId="49" fillId="0" borderId="68" xfId="1" applyFont="1" applyFill="1" applyBorder="1" applyAlignment="1">
      <alignment horizontal="center" vertical="center"/>
    </xf>
    <xf numFmtId="0" fontId="49" fillId="0" borderId="41" xfId="1" applyFont="1" applyFill="1" applyBorder="1" applyAlignment="1">
      <alignment horizontal="center" vertical="center" textRotation="90"/>
    </xf>
    <xf numFmtId="0" fontId="49" fillId="0" borderId="5" xfId="1" applyFont="1" applyFill="1" applyBorder="1" applyAlignment="1">
      <alignment horizontal="center" vertical="center" textRotation="90"/>
    </xf>
    <xf numFmtId="0" fontId="49" fillId="0" borderId="6" xfId="1" applyFont="1" applyFill="1" applyBorder="1" applyAlignment="1">
      <alignment horizontal="center" vertical="center" textRotation="90"/>
    </xf>
    <xf numFmtId="0" fontId="49" fillId="0" borderId="6" xfId="1" applyFont="1" applyFill="1" applyBorder="1" applyAlignment="1">
      <alignment horizontal="center" vertical="center" textRotation="90" wrapText="1"/>
    </xf>
    <xf numFmtId="0" fontId="49" fillId="0" borderId="7" xfId="1" applyFont="1" applyFill="1" applyBorder="1" applyAlignment="1">
      <alignment horizontal="center" vertical="center" textRotation="90" wrapText="1"/>
    </xf>
    <xf numFmtId="0" fontId="49" fillId="0" borderId="44" xfId="1" applyFont="1" applyFill="1" applyBorder="1" applyAlignment="1">
      <alignment horizontal="center" vertical="center"/>
    </xf>
    <xf numFmtId="0" fontId="69" fillId="0" borderId="47" xfId="1" applyFont="1" applyFill="1" applyBorder="1" applyAlignment="1">
      <alignment horizontal="center" vertical="center"/>
    </xf>
    <xf numFmtId="3" fontId="49" fillId="0" borderId="8" xfId="1" applyNumberFormat="1" applyFont="1" applyFill="1" applyBorder="1" applyAlignment="1">
      <alignment horizontal="right" vertical="center" readingOrder="2"/>
    </xf>
    <xf numFmtId="3" fontId="49" fillId="0" borderId="9" xfId="1" applyNumberFormat="1" applyFont="1" applyFill="1" applyBorder="1" applyAlignment="1">
      <alignment horizontal="right" vertical="center" readingOrder="2"/>
    </xf>
    <xf numFmtId="3" fontId="49" fillId="0" borderId="9" xfId="15" applyNumberFormat="1" applyFont="1" applyFill="1" applyBorder="1" applyAlignment="1">
      <alignment horizontal="right" vertical="center"/>
    </xf>
    <xf numFmtId="3" fontId="49" fillId="0" borderId="9" xfId="16" applyNumberFormat="1" applyFont="1" applyFill="1" applyBorder="1" applyAlignment="1">
      <alignment horizontal="center" vertical="center"/>
    </xf>
    <xf numFmtId="3" fontId="49" fillId="0" borderId="9" xfId="1" applyNumberFormat="1" applyFont="1" applyFill="1" applyBorder="1" applyAlignment="1">
      <alignment horizontal="center" vertical="center" readingOrder="2"/>
    </xf>
    <xf numFmtId="3" fontId="49" fillId="0" borderId="11" xfId="16" applyNumberFormat="1" applyFont="1" applyFill="1" applyBorder="1" applyAlignment="1">
      <alignment horizontal="center" vertical="center"/>
    </xf>
    <xf numFmtId="3" fontId="57" fillId="0" borderId="49" xfId="1" applyNumberFormat="1" applyFont="1" applyFill="1" applyBorder="1" applyAlignment="1">
      <alignment horizontal="right" vertical="center"/>
    </xf>
    <xf numFmtId="0" fontId="69" fillId="0" borderId="20" xfId="1" applyFont="1" applyFill="1" applyBorder="1" applyAlignment="1">
      <alignment horizontal="center" vertical="center"/>
    </xf>
    <xf numFmtId="3" fontId="49" fillId="0" borderId="15" xfId="15" applyNumberFormat="1" applyFont="1" applyFill="1" applyBorder="1" applyAlignment="1">
      <alignment horizontal="right" vertical="center"/>
    </xf>
    <xf numFmtId="3" fontId="49" fillId="0" borderId="16" xfId="15" applyNumberFormat="1" applyFont="1" applyFill="1" applyBorder="1" applyAlignment="1">
      <alignment horizontal="right" vertical="center"/>
    </xf>
    <xf numFmtId="3" fontId="49" fillId="0" borderId="16" xfId="16" applyNumberFormat="1" applyFont="1" applyFill="1" applyBorder="1" applyAlignment="1">
      <alignment horizontal="center" vertical="center"/>
    </xf>
    <xf numFmtId="3" fontId="49" fillId="0" borderId="18" xfId="16" applyNumberFormat="1" applyFont="1" applyFill="1" applyBorder="1" applyAlignment="1">
      <alignment horizontal="center" vertical="center"/>
    </xf>
    <xf numFmtId="0" fontId="69" fillId="0" borderId="23" xfId="1" applyFont="1" applyFill="1" applyBorder="1" applyAlignment="1">
      <alignment horizontal="center" vertical="center"/>
    </xf>
    <xf numFmtId="3" fontId="49" fillId="0" borderId="53" xfId="15" applyNumberFormat="1" applyFont="1" applyFill="1" applyBorder="1" applyAlignment="1">
      <alignment horizontal="right" vertical="center"/>
    </xf>
    <xf numFmtId="3" fontId="49" fillId="0" borderId="29" xfId="15" applyNumberFormat="1" applyFont="1" applyFill="1" applyBorder="1" applyAlignment="1">
      <alignment horizontal="right" vertical="center"/>
    </xf>
    <xf numFmtId="3" fontId="49" fillId="0" borderId="29" xfId="16" applyNumberFormat="1" applyFont="1" applyFill="1" applyBorder="1" applyAlignment="1">
      <alignment horizontal="center" vertical="center"/>
    </xf>
    <xf numFmtId="3" fontId="49" fillId="0" borderId="28" xfId="16" applyNumberFormat="1" applyFont="1" applyFill="1" applyBorder="1" applyAlignment="1">
      <alignment horizontal="center" vertical="center"/>
    </xf>
    <xf numFmtId="0" fontId="69" fillId="0" borderId="68" xfId="1" applyFont="1" applyFill="1" applyBorder="1" applyAlignment="1">
      <alignment horizontal="center" vertical="center"/>
    </xf>
    <xf numFmtId="3" fontId="57" fillId="0" borderId="43" xfId="1" applyNumberFormat="1" applyFont="1" applyFill="1" applyBorder="1" applyAlignment="1">
      <alignment horizontal="right" vertical="center"/>
    </xf>
    <xf numFmtId="3" fontId="57" fillId="0" borderId="36" xfId="1" applyNumberFormat="1" applyFont="1" applyFill="1" applyBorder="1" applyAlignment="1">
      <alignment horizontal="right" vertical="center"/>
    </xf>
    <xf numFmtId="3" fontId="57" fillId="0" borderId="37" xfId="1" applyNumberFormat="1" applyFont="1" applyFill="1" applyBorder="1" applyAlignment="1">
      <alignment horizontal="right" vertical="center"/>
    </xf>
    <xf numFmtId="3" fontId="57" fillId="0" borderId="35" xfId="1" applyNumberFormat="1" applyFont="1" applyFill="1" applyBorder="1" applyAlignment="1">
      <alignment horizontal="right" vertical="center"/>
    </xf>
    <xf numFmtId="3" fontId="57" fillId="0" borderId="44" xfId="1" applyNumberFormat="1" applyFont="1" applyFill="1" applyBorder="1" applyAlignment="1">
      <alignment horizontal="right" vertical="center"/>
    </xf>
    <xf numFmtId="3" fontId="81" fillId="0" borderId="42" xfId="15" applyNumberFormat="1" applyFont="1" applyFill="1" applyBorder="1" applyAlignment="1">
      <alignment horizontal="right" vertical="center" indent="1"/>
    </xf>
    <xf numFmtId="3" fontId="81" fillId="0" borderId="42" xfId="1" applyNumberFormat="1" applyFont="1" applyFill="1" applyBorder="1" applyAlignment="1">
      <alignment horizontal="right" vertical="center" indent="1"/>
    </xf>
    <xf numFmtId="3" fontId="81" fillId="0" borderId="72" xfId="15" applyNumberFormat="1" applyFont="1" applyFill="1" applyBorder="1" applyAlignment="1">
      <alignment horizontal="right" vertical="center" indent="1"/>
    </xf>
    <xf numFmtId="3" fontId="81" fillId="0" borderId="43" xfId="15" applyNumberFormat="1" applyFont="1" applyFill="1" applyBorder="1" applyAlignment="1">
      <alignment horizontal="right" vertical="center" indent="1"/>
    </xf>
    <xf numFmtId="0" fontId="80" fillId="10" borderId="71" xfId="1" applyFont="1" applyFill="1" applyBorder="1" applyAlignment="1">
      <alignment horizontal="center" vertical="center"/>
    </xf>
    <xf numFmtId="0" fontId="81" fillId="10" borderId="68" xfId="1" applyFont="1" applyFill="1" applyBorder="1" applyAlignment="1">
      <alignment horizontal="center" vertical="center"/>
    </xf>
    <xf numFmtId="0" fontId="81" fillId="10" borderId="6" xfId="1" applyFont="1" applyFill="1" applyBorder="1" applyAlignment="1">
      <alignment horizontal="center" vertical="center"/>
    </xf>
    <xf numFmtId="0" fontId="81" fillId="10" borderId="5" xfId="1" applyFont="1" applyFill="1" applyBorder="1" applyAlignment="1">
      <alignment horizontal="center" vertical="center"/>
    </xf>
    <xf numFmtId="0" fontId="81" fillId="10" borderId="44" xfId="1" applyFont="1" applyFill="1" applyBorder="1" applyAlignment="1">
      <alignment horizontal="center" vertical="center"/>
    </xf>
    <xf numFmtId="0" fontId="49" fillId="10" borderId="44" xfId="1" applyFont="1" applyFill="1" applyBorder="1" applyAlignment="1">
      <alignment horizontal="center" vertical="center"/>
    </xf>
    <xf numFmtId="3" fontId="69" fillId="0" borderId="60" xfId="1" applyNumberFormat="1" applyFont="1" applyFill="1" applyBorder="1" applyAlignment="1">
      <alignment horizontal="center" vertical="center"/>
    </xf>
    <xf numFmtId="3" fontId="69" fillId="0" borderId="6" xfId="1" applyNumberFormat="1" applyFont="1" applyFill="1" applyBorder="1" applyAlignment="1">
      <alignment horizontal="center" vertical="center"/>
    </xf>
    <xf numFmtId="3" fontId="69" fillId="0" borderId="5" xfId="1" applyNumberFormat="1" applyFont="1" applyFill="1" applyBorder="1" applyAlignment="1">
      <alignment horizontal="center" vertical="center"/>
    </xf>
    <xf numFmtId="3" fontId="57" fillId="0" borderId="44" xfId="1" applyNumberFormat="1" applyFont="1" applyFill="1" applyBorder="1" applyAlignment="1">
      <alignment horizontal="right" vertical="center" indent="2"/>
    </xf>
    <xf numFmtId="0" fontId="49" fillId="10" borderId="75" xfId="1" applyFont="1" applyFill="1" applyBorder="1" applyAlignment="1">
      <alignment horizontal="center" vertical="center"/>
    </xf>
    <xf numFmtId="3" fontId="69" fillId="0" borderId="2" xfId="1" applyNumberFormat="1" applyFont="1" applyFill="1" applyBorder="1" applyAlignment="1">
      <alignment horizontal="center" vertical="center"/>
    </xf>
    <xf numFmtId="3" fontId="69" fillId="0" borderId="40" xfId="1" applyNumberFormat="1" applyFont="1" applyFill="1" applyBorder="1" applyAlignment="1">
      <alignment horizontal="center" vertical="center"/>
    </xf>
    <xf numFmtId="3" fontId="69" fillId="0" borderId="39" xfId="1" applyNumberFormat="1" applyFont="1" applyFill="1" applyBorder="1" applyAlignment="1">
      <alignment horizontal="center" vertical="center"/>
    </xf>
    <xf numFmtId="3" fontId="57" fillId="0" borderId="71" xfId="1" applyNumberFormat="1" applyFont="1" applyFill="1" applyBorder="1" applyAlignment="1">
      <alignment horizontal="right" vertical="center" indent="2"/>
    </xf>
    <xf numFmtId="3" fontId="69" fillId="0" borderId="0" xfId="1" applyNumberFormat="1" applyFont="1" applyFill="1" applyBorder="1" applyAlignment="1">
      <alignment horizontal="center" vertical="center"/>
    </xf>
    <xf numFmtId="3" fontId="69" fillId="0" borderId="42" xfId="1" applyNumberFormat="1" applyFont="1" applyFill="1" applyBorder="1" applyAlignment="1">
      <alignment horizontal="center" vertical="center"/>
    </xf>
    <xf numFmtId="3" fontId="69" fillId="0" borderId="73" xfId="1" applyNumberFormat="1" applyFont="1" applyFill="1" applyBorder="1" applyAlignment="1">
      <alignment horizontal="center" vertical="center"/>
    </xf>
    <xf numFmtId="3" fontId="57" fillId="0" borderId="75" xfId="1" applyNumberFormat="1" applyFont="1" applyFill="1" applyBorder="1" applyAlignment="1">
      <alignment horizontal="right" vertical="center" indent="2"/>
    </xf>
    <xf numFmtId="0" fontId="49" fillId="10" borderId="71" xfId="1" applyFont="1" applyFill="1" applyBorder="1" applyAlignment="1">
      <alignment horizontal="center" vertical="center"/>
    </xf>
    <xf numFmtId="3" fontId="69" fillId="0" borderId="3" xfId="1" applyNumberFormat="1" applyFont="1" applyFill="1" applyBorder="1" applyAlignment="1">
      <alignment horizontal="center" vertical="center"/>
    </xf>
    <xf numFmtId="0" fontId="49" fillId="10" borderId="75" xfId="15" applyFont="1" applyFill="1" applyBorder="1" applyAlignment="1">
      <alignment horizontal="center" vertical="center"/>
    </xf>
    <xf numFmtId="3" fontId="57" fillId="0" borderId="44" xfId="1" applyNumberFormat="1" applyFont="1" applyFill="1" applyBorder="1" applyAlignment="1">
      <alignment horizontal="right" vertical="center" indent="1"/>
    </xf>
    <xf numFmtId="3" fontId="69" fillId="0" borderId="41" xfId="1" applyNumberFormat="1" applyFont="1" applyFill="1" applyBorder="1" applyAlignment="1">
      <alignment horizontal="center" vertical="center"/>
    </xf>
    <xf numFmtId="3" fontId="69" fillId="0" borderId="57" xfId="1" applyNumberFormat="1" applyFont="1" applyFill="1" applyBorder="1" applyAlignment="1">
      <alignment horizontal="center" vertical="center"/>
    </xf>
    <xf numFmtId="3" fontId="57" fillId="0" borderId="59" xfId="1" applyNumberFormat="1" applyFont="1" applyFill="1" applyBorder="1" applyAlignment="1">
      <alignment horizontal="right" vertical="center" indent="2"/>
    </xf>
    <xf numFmtId="3" fontId="69" fillId="0" borderId="68" xfId="1" applyNumberFormat="1" applyFont="1" applyFill="1" applyBorder="1" applyAlignment="1">
      <alignment horizontal="center" vertical="center"/>
    </xf>
    <xf numFmtId="3" fontId="57" fillId="0" borderId="68" xfId="1" applyNumberFormat="1" applyFont="1" applyFill="1" applyBorder="1" applyAlignment="1">
      <alignment horizontal="right" vertical="center" indent="1"/>
    </xf>
    <xf numFmtId="3" fontId="57" fillId="0" borderId="6" xfId="1" applyNumberFormat="1" applyFont="1" applyFill="1" applyBorder="1" applyAlignment="1">
      <alignment horizontal="right" vertical="center" indent="1"/>
    </xf>
    <xf numFmtId="3" fontId="57" fillId="0" borderId="5" xfId="1" applyNumberFormat="1" applyFont="1" applyFill="1" applyBorder="1" applyAlignment="1">
      <alignment horizontal="right" vertical="center" indent="1"/>
    </xf>
    <xf numFmtId="0" fontId="49" fillId="10" borderId="3" xfId="1" applyFont="1" applyFill="1" applyBorder="1" applyAlignment="1">
      <alignment horizontal="center" vertical="center" textRotation="90"/>
    </xf>
    <xf numFmtId="0" fontId="49" fillId="10" borderId="40" xfId="1" applyFont="1" applyFill="1" applyBorder="1" applyAlignment="1">
      <alignment horizontal="center" vertical="center" textRotation="90"/>
    </xf>
    <xf numFmtId="0" fontId="49" fillId="10" borderId="39" xfId="1" applyFont="1" applyFill="1" applyBorder="1" applyAlignment="1">
      <alignment horizontal="center" vertical="center" textRotation="90"/>
    </xf>
    <xf numFmtId="0" fontId="49" fillId="10" borderId="5" xfId="1" applyFont="1" applyFill="1" applyBorder="1" applyAlignment="1">
      <alignment horizontal="center" vertical="center" textRotation="90"/>
    </xf>
    <xf numFmtId="0" fontId="49" fillId="10" borderId="7" xfId="1" applyFont="1" applyFill="1" applyBorder="1" applyAlignment="1">
      <alignment horizontal="center" vertical="center" textRotation="90"/>
    </xf>
    <xf numFmtId="0" fontId="69" fillId="10" borderId="44" xfId="1" applyFont="1" applyFill="1" applyBorder="1" applyAlignment="1">
      <alignment horizontal="center" vertical="center"/>
    </xf>
    <xf numFmtId="3" fontId="57" fillId="0" borderId="5" xfId="18" applyNumberFormat="1" applyFont="1" applyFill="1" applyBorder="1" applyAlignment="1">
      <alignment horizontal="right" vertical="center"/>
    </xf>
    <xf numFmtId="3" fontId="57" fillId="2" borderId="5" xfId="18" applyNumberFormat="1" applyFont="1" applyFill="1" applyBorder="1" applyAlignment="1">
      <alignment horizontal="right" vertical="center"/>
    </xf>
    <xf numFmtId="3" fontId="57" fillId="0" borderId="6" xfId="18" applyNumberFormat="1" applyFont="1" applyFill="1" applyBorder="1" applyAlignment="1">
      <alignment horizontal="right" vertical="center"/>
    </xf>
    <xf numFmtId="3" fontId="57" fillId="0" borderId="7" xfId="18" applyNumberFormat="1" applyFont="1" applyFill="1" applyBorder="1" applyAlignment="1">
      <alignment horizontal="right" vertical="center"/>
    </xf>
    <xf numFmtId="0" fontId="69" fillId="10" borderId="75" xfId="1" applyFont="1" applyFill="1" applyBorder="1" applyAlignment="1">
      <alignment horizontal="center" vertical="center"/>
    </xf>
    <xf numFmtId="3" fontId="57" fillId="0" borderId="73" xfId="18" applyNumberFormat="1" applyFont="1" applyFill="1" applyBorder="1" applyAlignment="1">
      <alignment horizontal="right" vertical="center"/>
    </xf>
    <xf numFmtId="3" fontId="57" fillId="0" borderId="42" xfId="18" applyNumberFormat="1" applyFont="1" applyFill="1" applyBorder="1" applyAlignment="1">
      <alignment horizontal="right" vertical="center"/>
    </xf>
    <xf numFmtId="3" fontId="57" fillId="0" borderId="61" xfId="18" applyNumberFormat="1" applyFont="1" applyFill="1" applyBorder="1" applyAlignment="1">
      <alignment horizontal="right" vertical="center"/>
    </xf>
    <xf numFmtId="3" fontId="57" fillId="0" borderId="75" xfId="1" applyNumberFormat="1" applyFont="1" applyFill="1" applyBorder="1" applyAlignment="1">
      <alignment horizontal="right" vertical="center" indent="1"/>
    </xf>
    <xf numFmtId="3" fontId="57" fillId="0" borderId="5" xfId="1" applyNumberFormat="1" applyFont="1" applyFill="1" applyBorder="1" applyAlignment="1">
      <alignment horizontal="right" vertical="center"/>
    </xf>
    <xf numFmtId="3" fontId="57" fillId="0" borderId="6" xfId="1" applyNumberFormat="1" applyFont="1" applyFill="1" applyBorder="1" applyAlignment="1">
      <alignment horizontal="right" vertical="center"/>
    </xf>
    <xf numFmtId="3" fontId="57" fillId="2" borderId="6" xfId="1" applyNumberFormat="1" applyFont="1" applyFill="1" applyBorder="1" applyAlignment="1">
      <alignment horizontal="right" vertical="center"/>
    </xf>
    <xf numFmtId="3" fontId="57" fillId="0" borderId="7" xfId="1" applyNumberFormat="1" applyFont="1" applyFill="1" applyBorder="1" applyAlignment="1">
      <alignment horizontal="right" vertical="center"/>
    </xf>
    <xf numFmtId="3" fontId="57" fillId="0" borderId="73" xfId="1" applyNumberFormat="1" applyFont="1" applyFill="1" applyBorder="1" applyAlignment="1">
      <alignment horizontal="right" vertical="center"/>
    </xf>
    <xf numFmtId="3" fontId="57" fillId="0" borderId="42" xfId="1" applyNumberFormat="1" applyFont="1" applyFill="1" applyBorder="1" applyAlignment="1">
      <alignment horizontal="right" vertical="center"/>
    </xf>
    <xf numFmtId="3" fontId="57" fillId="0" borderId="44" xfId="1" applyNumberFormat="1" applyFont="1" applyFill="1" applyBorder="1" applyAlignment="1">
      <alignment horizontal="center" vertical="center"/>
    </xf>
    <xf numFmtId="3" fontId="57" fillId="0" borderId="39" xfId="18" applyNumberFormat="1" applyFont="1" applyFill="1" applyBorder="1" applyAlignment="1">
      <alignment horizontal="right" vertical="center"/>
    </xf>
    <xf numFmtId="3" fontId="57" fillId="0" borderId="12" xfId="18" applyNumberFormat="1" applyFont="1" applyFill="1" applyBorder="1" applyAlignment="1">
      <alignment horizontal="right" vertical="center"/>
    </xf>
    <xf numFmtId="3" fontId="57" fillId="0" borderId="36" xfId="18" applyNumberFormat="1" applyFont="1" applyFill="1" applyBorder="1" applyAlignment="1">
      <alignment horizontal="right" vertical="center"/>
    </xf>
    <xf numFmtId="3" fontId="57" fillId="0" borderId="37" xfId="18" applyNumberFormat="1" applyFont="1" applyFill="1" applyBorder="1" applyAlignment="1">
      <alignment horizontal="right" vertical="center"/>
    </xf>
    <xf numFmtId="3" fontId="57" fillId="0" borderId="35" xfId="18" applyNumberFormat="1" applyFont="1" applyFill="1" applyBorder="1" applyAlignment="1">
      <alignment horizontal="right" vertical="center"/>
    </xf>
    <xf numFmtId="3" fontId="57" fillId="0" borderId="59" xfId="1" applyNumberFormat="1" applyFont="1" applyFill="1" applyBorder="1" applyAlignment="1">
      <alignment horizontal="right" vertical="center" indent="1"/>
    </xf>
    <xf numFmtId="0" fontId="148" fillId="10" borderId="75" xfId="1" applyFont="1" applyFill="1" applyBorder="1" applyAlignment="1">
      <alignment horizontal="center" vertical="center"/>
    </xf>
    <xf numFmtId="0" fontId="69" fillId="10" borderId="14" xfId="1" applyFont="1" applyFill="1" applyBorder="1" applyAlignment="1">
      <alignment horizontal="center" vertical="center"/>
    </xf>
    <xf numFmtId="3" fontId="70" fillId="0" borderId="8" xfId="1" applyNumberFormat="1" applyFont="1" applyFill="1" applyBorder="1" applyAlignment="1">
      <alignment horizontal="center" vertical="center"/>
    </xf>
    <xf numFmtId="3" fontId="70" fillId="0" borderId="9" xfId="1" applyNumberFormat="1" applyFont="1" applyFill="1" applyBorder="1" applyAlignment="1">
      <alignment horizontal="center" vertical="center"/>
    </xf>
    <xf numFmtId="3" fontId="70" fillId="0" borderId="10" xfId="1" applyNumberFormat="1" applyFont="1" applyFill="1" applyBorder="1" applyAlignment="1">
      <alignment horizontal="center" vertical="center"/>
    </xf>
    <xf numFmtId="3" fontId="57" fillId="0" borderId="10" xfId="1" applyNumberFormat="1" applyFont="1" applyFill="1" applyBorder="1" applyAlignment="1">
      <alignment horizontal="center" vertical="center"/>
    </xf>
    <xf numFmtId="3" fontId="70" fillId="0" borderId="11" xfId="1" applyNumberFormat="1" applyFont="1" applyFill="1" applyBorder="1" applyAlignment="1">
      <alignment horizontal="center" vertical="center"/>
    </xf>
    <xf numFmtId="3" fontId="57" fillId="0" borderId="14" xfId="1" applyNumberFormat="1" applyFont="1" applyFill="1" applyBorder="1" applyAlignment="1">
      <alignment horizontal="right" vertical="center" indent="1"/>
    </xf>
    <xf numFmtId="0" fontId="69" fillId="10" borderId="59" xfId="1" applyFont="1" applyFill="1" applyBorder="1" applyAlignment="1">
      <alignment horizontal="center" vertical="center"/>
    </xf>
    <xf numFmtId="3" fontId="70" fillId="0" borderId="1" xfId="1" applyNumberFormat="1" applyFont="1" applyFill="1" applyBorder="1" applyAlignment="1">
      <alignment horizontal="center" vertical="center"/>
    </xf>
    <xf numFmtId="3" fontId="70" fillId="0" borderId="36" xfId="1" applyNumberFormat="1" applyFont="1" applyFill="1" applyBorder="1" applyAlignment="1">
      <alignment horizontal="center" vertical="center"/>
    </xf>
    <xf numFmtId="3" fontId="70" fillId="0" borderId="37" xfId="1" applyNumberFormat="1" applyFont="1" applyFill="1" applyBorder="1" applyAlignment="1">
      <alignment horizontal="center" vertical="center"/>
    </xf>
    <xf numFmtId="3" fontId="57" fillId="0" borderId="1" xfId="1" applyNumberFormat="1" applyFont="1" applyFill="1" applyBorder="1" applyAlignment="1">
      <alignment horizontal="right" vertical="center"/>
    </xf>
    <xf numFmtId="3" fontId="57" fillId="0" borderId="59" xfId="1" applyNumberFormat="1" applyFont="1" applyFill="1" applyBorder="1" applyAlignment="1">
      <alignment horizontal="center" vertical="center"/>
    </xf>
    <xf numFmtId="0" fontId="81" fillId="0" borderId="44" xfId="1" applyFont="1" applyFill="1" applyBorder="1" applyAlignment="1">
      <alignment horizontal="center" vertical="center"/>
    </xf>
    <xf numFmtId="0" fontId="81" fillId="0" borderId="6" xfId="1" applyFont="1" applyFill="1" applyBorder="1" applyAlignment="1">
      <alignment horizontal="center" vertical="center"/>
    </xf>
    <xf numFmtId="0" fontId="81" fillId="0" borderId="5" xfId="1" applyFont="1" applyFill="1" applyBorder="1" applyAlignment="1">
      <alignment horizontal="center" vertical="center"/>
    </xf>
    <xf numFmtId="0" fontId="81" fillId="0" borderId="58" xfId="1" applyFont="1" applyFill="1" applyBorder="1" applyAlignment="1">
      <alignment horizontal="center" vertical="center"/>
    </xf>
    <xf numFmtId="0" fontId="81" fillId="0" borderId="75" xfId="1" applyFont="1" applyFill="1" applyBorder="1" applyAlignment="1">
      <alignment horizontal="center" vertical="center"/>
    </xf>
    <xf numFmtId="3" fontId="70" fillId="0" borderId="40" xfId="1" applyNumberFormat="1" applyFont="1" applyFill="1" applyBorder="1" applyAlignment="1">
      <alignment horizontal="center" vertical="center"/>
    </xf>
    <xf numFmtId="3" fontId="70" fillId="0" borderId="39" xfId="1" applyNumberFormat="1" applyFont="1" applyFill="1" applyBorder="1" applyAlignment="1">
      <alignment horizontal="center" vertical="center"/>
    </xf>
    <xf numFmtId="3" fontId="70" fillId="0" borderId="4" xfId="1" applyNumberFormat="1" applyFont="1" applyFill="1" applyBorder="1" applyAlignment="1">
      <alignment horizontal="center" vertical="center"/>
    </xf>
    <xf numFmtId="3" fontId="70" fillId="0" borderId="42" xfId="1" applyNumberFormat="1" applyFont="1" applyFill="1" applyBorder="1" applyAlignment="1">
      <alignment horizontal="center" vertical="center"/>
    </xf>
    <xf numFmtId="3" fontId="70" fillId="0" borderId="73" xfId="1" applyNumberFormat="1" applyFont="1" applyFill="1" applyBorder="1" applyAlignment="1">
      <alignment horizontal="center" vertical="center"/>
    </xf>
    <xf numFmtId="3" fontId="70" fillId="0" borderId="61" xfId="1" applyNumberFormat="1" applyFont="1" applyFill="1" applyBorder="1" applyAlignment="1">
      <alignment horizontal="center" vertical="center"/>
    </xf>
    <xf numFmtId="1" fontId="70" fillId="0" borderId="73" xfId="1" applyNumberFormat="1" applyFont="1" applyFill="1" applyBorder="1" applyAlignment="1">
      <alignment horizontal="center" vertical="center"/>
    </xf>
    <xf numFmtId="0" fontId="81" fillId="0" borderId="59" xfId="1" applyFont="1" applyFill="1" applyBorder="1" applyAlignment="1">
      <alignment horizontal="center" vertical="center"/>
    </xf>
    <xf numFmtId="1" fontId="70" fillId="0" borderId="36" xfId="1" applyNumberFormat="1" applyFont="1" applyFill="1" applyBorder="1" applyAlignment="1">
      <alignment horizontal="center" vertical="center"/>
    </xf>
    <xf numFmtId="3" fontId="70" fillId="0" borderId="35" xfId="1" applyNumberFormat="1" applyFont="1" applyFill="1" applyBorder="1" applyAlignment="1">
      <alignment horizontal="center" vertical="center"/>
    </xf>
    <xf numFmtId="3" fontId="70" fillId="0" borderId="5" xfId="1" applyNumberFormat="1" applyFont="1" applyFill="1" applyBorder="1" applyAlignment="1">
      <alignment horizontal="center" vertical="center"/>
    </xf>
    <xf numFmtId="0" fontId="49" fillId="0" borderId="57" xfId="1" applyFont="1" applyFill="1" applyBorder="1" applyAlignment="1">
      <alignment horizontal="center" vertical="center" textRotation="90"/>
    </xf>
    <xf numFmtId="0" fontId="69" fillId="0" borderId="56" xfId="1" applyFont="1" applyFill="1" applyBorder="1" applyAlignment="1">
      <alignment horizontal="center" vertical="center"/>
    </xf>
    <xf numFmtId="3" fontId="98" fillId="0" borderId="55" xfId="1" applyNumberFormat="1" applyFont="1" applyFill="1" applyBorder="1" applyAlignment="1">
      <alignment horizontal="right" vertical="center"/>
    </xf>
    <xf numFmtId="3" fontId="98" fillId="0" borderId="14" xfId="1" applyNumberFormat="1" applyFont="1" applyFill="1" applyBorder="1" applyAlignment="1">
      <alignment horizontal="right" vertical="center"/>
    </xf>
    <xf numFmtId="0" fontId="69" fillId="0" borderId="19" xfId="1" applyFont="1" applyFill="1" applyBorder="1" applyAlignment="1">
      <alignment horizontal="center" vertical="center"/>
    </xf>
    <xf numFmtId="3" fontId="98" fillId="0" borderId="56" xfId="1" applyNumberFormat="1" applyFont="1" applyFill="1" applyBorder="1" applyAlignment="1">
      <alignment horizontal="right" vertical="center"/>
    </xf>
    <xf numFmtId="0" fontId="69" fillId="0" borderId="30" xfId="1" applyFont="1" applyFill="1" applyBorder="1" applyAlignment="1">
      <alignment horizontal="center" vertical="center"/>
    </xf>
    <xf numFmtId="3" fontId="98" fillId="0" borderId="29" xfId="1" applyNumberFormat="1" applyFont="1" applyFill="1" applyBorder="1" applyAlignment="1">
      <alignment horizontal="right" vertical="center"/>
    </xf>
    <xf numFmtId="3" fontId="98" fillId="0" borderId="67" xfId="1" applyNumberFormat="1" applyFont="1" applyFill="1" applyBorder="1" applyAlignment="1">
      <alignment horizontal="right" vertical="center"/>
    </xf>
    <xf numFmtId="3" fontId="98" fillId="0" borderId="30" xfId="1" applyNumberFormat="1" applyFont="1" applyFill="1" applyBorder="1" applyAlignment="1">
      <alignment horizontal="right" vertical="center"/>
    </xf>
    <xf numFmtId="3" fontId="98" fillId="0" borderId="26" xfId="1" applyNumberFormat="1" applyFont="1" applyFill="1" applyBorder="1" applyAlignment="1">
      <alignment horizontal="right" vertical="center"/>
    </xf>
    <xf numFmtId="3" fontId="98" fillId="0" borderId="36" xfId="1" applyNumberFormat="1" applyFont="1" applyFill="1" applyBorder="1" applyAlignment="1">
      <alignment horizontal="right" vertical="center"/>
    </xf>
    <xf numFmtId="3" fontId="98" fillId="2" borderId="36" xfId="1" applyNumberFormat="1" applyFont="1" applyFill="1" applyBorder="1" applyAlignment="1">
      <alignment horizontal="right" vertical="center"/>
    </xf>
    <xf numFmtId="3" fontId="98" fillId="0" borderId="37" xfId="1" applyNumberFormat="1" applyFont="1" applyFill="1" applyBorder="1" applyAlignment="1">
      <alignment horizontal="right" vertical="center"/>
    </xf>
    <xf numFmtId="3" fontId="98" fillId="2" borderId="59" xfId="1" applyNumberFormat="1" applyFont="1" applyFill="1" applyBorder="1" applyAlignment="1">
      <alignment horizontal="right" vertical="center"/>
    </xf>
    <xf numFmtId="0" fontId="49" fillId="0" borderId="27" xfId="1" applyFont="1" applyFill="1" applyBorder="1" applyAlignment="1">
      <alignment horizontal="center" vertical="center"/>
    </xf>
    <xf numFmtId="0" fontId="69" fillId="0" borderId="75" xfId="1" applyFont="1" applyFill="1" applyBorder="1" applyAlignment="1">
      <alignment horizontal="center" vertical="center"/>
    </xf>
    <xf numFmtId="3" fontId="59" fillId="0" borderId="42" xfId="1" applyNumberFormat="1" applyFont="1" applyFill="1" applyBorder="1" applyAlignment="1">
      <alignment horizontal="right" vertical="center" indent="1"/>
    </xf>
    <xf numFmtId="3" fontId="59" fillId="0" borderId="46" xfId="1" applyNumberFormat="1" applyFont="1" applyFill="1" applyBorder="1" applyAlignment="1">
      <alignment horizontal="right" vertical="center" indent="1"/>
    </xf>
    <xf numFmtId="174" fontId="59" fillId="0" borderId="61" xfId="1" applyNumberFormat="1" applyFont="1" applyFill="1" applyBorder="1" applyAlignment="1">
      <alignment horizontal="right" vertical="center" indent="2"/>
    </xf>
    <xf numFmtId="3" fontId="59" fillId="0" borderId="61" xfId="1" applyNumberFormat="1" applyFont="1" applyFill="1" applyBorder="1" applyAlignment="1">
      <alignment horizontal="right" vertical="center" indent="1"/>
    </xf>
    <xf numFmtId="3" fontId="59" fillId="0" borderId="25" xfId="1" applyNumberFormat="1" applyFont="1" applyFill="1" applyBorder="1" applyAlignment="1">
      <alignment horizontal="right" vertical="center" indent="1"/>
    </xf>
    <xf numFmtId="3" fontId="59" fillId="0" borderId="35" xfId="1" applyNumberFormat="1" applyFont="1" applyFill="1" applyBorder="1" applyAlignment="1">
      <alignment horizontal="right" vertical="center" indent="1"/>
    </xf>
    <xf numFmtId="0" fontId="69" fillId="0" borderId="44" xfId="1" applyFont="1" applyFill="1" applyBorder="1" applyAlignment="1">
      <alignment horizontal="center" vertical="center"/>
    </xf>
    <xf numFmtId="3" fontId="59" fillId="0" borderId="6" xfId="1" applyNumberFormat="1" applyFont="1" applyFill="1" applyBorder="1" applyAlignment="1">
      <alignment horizontal="right" vertical="center" indent="1"/>
    </xf>
    <xf numFmtId="175" fontId="59" fillId="0" borderId="6" xfId="1" applyNumberFormat="1" applyFont="1" applyFill="1" applyBorder="1" applyAlignment="1">
      <alignment horizontal="right" vertical="center" indent="1"/>
    </xf>
    <xf numFmtId="3" fontId="59" fillId="0" borderId="68" xfId="1" applyNumberFormat="1" applyFont="1" applyFill="1" applyBorder="1" applyAlignment="1">
      <alignment horizontal="right" vertical="center" indent="1"/>
    </xf>
    <xf numFmtId="174" fontId="59" fillId="0" borderId="7" xfId="1" applyNumberFormat="1" applyFont="1" applyFill="1" applyBorder="1" applyAlignment="1">
      <alignment horizontal="right" vertical="center" indent="2"/>
    </xf>
    <xf numFmtId="0" fontId="81" fillId="10" borderId="71" xfId="1" applyFont="1" applyFill="1" applyBorder="1" applyAlignment="1">
      <alignment horizontal="center" vertical="center"/>
    </xf>
    <xf numFmtId="0" fontId="81" fillId="10" borderId="3" xfId="1" applyFont="1" applyFill="1" applyBorder="1" applyAlignment="1">
      <alignment horizontal="center" vertical="center"/>
    </xf>
    <xf numFmtId="0" fontId="81" fillId="10" borderId="40" xfId="1" applyFont="1" applyFill="1" applyBorder="1" applyAlignment="1">
      <alignment horizontal="center" vertical="center"/>
    </xf>
    <xf numFmtId="0" fontId="81" fillId="10" borderId="39" xfId="1" applyFont="1" applyFill="1" applyBorder="1" applyAlignment="1">
      <alignment horizontal="center" vertical="center"/>
    </xf>
    <xf numFmtId="3" fontId="57" fillId="0" borderId="60" xfId="1" applyNumberFormat="1" applyFont="1" applyFill="1" applyBorder="1" applyAlignment="1">
      <alignment horizontal="center" vertical="center"/>
    </xf>
    <xf numFmtId="3" fontId="57" fillId="0" borderId="6" xfId="1" applyNumberFormat="1" applyFont="1" applyFill="1" applyBorder="1" applyAlignment="1">
      <alignment horizontal="center" vertical="center"/>
    </xf>
    <xf numFmtId="3" fontId="57" fillId="0" borderId="5" xfId="1" applyNumberFormat="1" applyFont="1" applyFill="1" applyBorder="1" applyAlignment="1">
      <alignment horizontal="center" vertical="center"/>
    </xf>
    <xf numFmtId="3" fontId="57" fillId="0" borderId="0" xfId="1" applyNumberFormat="1" applyFont="1" applyFill="1" applyBorder="1" applyAlignment="1">
      <alignment horizontal="center" vertical="center"/>
    </xf>
    <xf numFmtId="3" fontId="57" fillId="0" borderId="42" xfId="1" applyNumberFormat="1" applyFont="1" applyFill="1" applyBorder="1" applyAlignment="1">
      <alignment horizontal="center" vertical="center"/>
    </xf>
    <xf numFmtId="3" fontId="57" fillId="0" borderId="73" xfId="1" applyNumberFormat="1" applyFont="1" applyFill="1" applyBorder="1" applyAlignment="1">
      <alignment horizontal="center" vertical="center"/>
    </xf>
    <xf numFmtId="3" fontId="57" fillId="0" borderId="75" xfId="1" applyNumberFormat="1" applyFont="1" applyFill="1" applyBorder="1" applyAlignment="1">
      <alignment horizontal="center" vertical="center"/>
    </xf>
    <xf numFmtId="3" fontId="57" fillId="0" borderId="57" xfId="1" applyNumberFormat="1" applyFont="1" applyFill="1" applyBorder="1" applyAlignment="1">
      <alignment horizontal="center" vertical="center"/>
    </xf>
    <xf numFmtId="0" fontId="69" fillId="10" borderId="71" xfId="1" applyFont="1" applyFill="1" applyBorder="1" applyAlignment="1">
      <alignment horizontal="center" vertical="center"/>
    </xf>
    <xf numFmtId="3" fontId="57" fillId="0" borderId="68" xfId="1" applyNumberFormat="1" applyFont="1" applyFill="1" applyBorder="1" applyAlignment="1">
      <alignment horizontal="center" vertical="center"/>
    </xf>
    <xf numFmtId="3" fontId="57" fillId="0" borderId="1" xfId="1" applyNumberFormat="1" applyFont="1" applyFill="1" applyBorder="1" applyAlignment="1">
      <alignment horizontal="center" vertical="center"/>
    </xf>
    <xf numFmtId="3" fontId="57" fillId="0" borderId="7" xfId="1" applyNumberFormat="1" applyFont="1" applyFill="1" applyBorder="1" applyAlignment="1">
      <alignment horizontal="center" vertical="center"/>
    </xf>
    <xf numFmtId="0" fontId="49" fillId="10" borderId="2" xfId="1" applyFont="1" applyFill="1" applyBorder="1" applyAlignment="1">
      <alignment horizontal="center" vertical="center" textRotation="90"/>
    </xf>
    <xf numFmtId="0" fontId="49" fillId="10" borderId="4" xfId="1" applyFont="1" applyFill="1" applyBorder="1" applyAlignment="1">
      <alignment horizontal="center" vertical="center" textRotation="90"/>
    </xf>
    <xf numFmtId="3" fontId="57" fillId="2" borderId="44" xfId="1" applyNumberFormat="1" applyFont="1" applyFill="1" applyBorder="1" applyAlignment="1">
      <alignment horizontal="right" vertical="center"/>
    </xf>
    <xf numFmtId="3" fontId="57" fillId="0" borderId="46" xfId="1" applyNumberFormat="1" applyFont="1" applyFill="1" applyBorder="1" applyAlignment="1">
      <alignment horizontal="center" vertical="center"/>
    </xf>
    <xf numFmtId="3" fontId="57" fillId="0" borderId="61" xfId="1" applyNumberFormat="1" applyFont="1" applyFill="1" applyBorder="1" applyAlignment="1">
      <alignment horizontal="center" vertical="center"/>
    </xf>
    <xf numFmtId="3" fontId="57" fillId="0" borderId="75" xfId="1" applyNumberFormat="1" applyFont="1" applyFill="1" applyBorder="1" applyAlignment="1">
      <alignment horizontal="right" vertical="center"/>
    </xf>
    <xf numFmtId="3" fontId="57" fillId="2" borderId="75" xfId="1" applyNumberFormat="1" applyFont="1" applyFill="1" applyBorder="1" applyAlignment="1">
      <alignment horizontal="right" vertical="center"/>
    </xf>
    <xf numFmtId="0" fontId="49" fillId="10" borderId="75" xfId="1" applyFont="1" applyFill="1" applyBorder="1" applyAlignment="1">
      <alignment horizontal="center" vertical="justify"/>
    </xf>
    <xf numFmtId="3" fontId="57" fillId="0" borderId="73" xfId="13" applyNumberFormat="1" applyFont="1" applyFill="1" applyBorder="1" applyAlignment="1">
      <alignment horizontal="center" vertical="center"/>
    </xf>
    <xf numFmtId="0" fontId="69" fillId="10" borderId="75" xfId="1" applyFont="1" applyFill="1" applyBorder="1" applyAlignment="1">
      <alignment horizontal="center" vertical="justify"/>
    </xf>
    <xf numFmtId="0" fontId="49" fillId="10" borderId="14" xfId="1" applyFont="1" applyFill="1" applyBorder="1" applyAlignment="1">
      <alignment horizontal="center" vertical="center"/>
    </xf>
    <xf numFmtId="3" fontId="57" fillId="0" borderId="9" xfId="1" applyNumberFormat="1" applyFont="1" applyFill="1" applyBorder="1" applyAlignment="1">
      <alignment horizontal="center" vertical="center"/>
    </xf>
    <xf numFmtId="3" fontId="57" fillId="0" borderId="11" xfId="1" applyNumberFormat="1" applyFont="1" applyFill="1" applyBorder="1" applyAlignment="1">
      <alignment horizontal="center" vertical="center"/>
    </xf>
    <xf numFmtId="0" fontId="49" fillId="10" borderId="59" xfId="1" applyFont="1" applyFill="1" applyBorder="1" applyAlignment="1">
      <alignment horizontal="center" vertical="center"/>
    </xf>
    <xf numFmtId="3" fontId="57" fillId="0" borderId="37" xfId="1" applyNumberFormat="1" applyFont="1" applyFill="1" applyBorder="1" applyAlignment="1">
      <alignment horizontal="center" vertical="center"/>
    </xf>
    <xf numFmtId="3" fontId="57" fillId="0" borderId="36" xfId="1" applyNumberFormat="1" applyFont="1" applyFill="1" applyBorder="1" applyAlignment="1">
      <alignment horizontal="center" vertical="center"/>
    </xf>
    <xf numFmtId="3" fontId="57" fillId="0" borderId="59" xfId="1" applyNumberFormat="1" applyFont="1" applyFill="1" applyBorder="1" applyAlignment="1">
      <alignment horizontal="right" vertical="center"/>
    </xf>
    <xf numFmtId="3" fontId="57" fillId="0" borderId="25" xfId="1" applyNumberFormat="1" applyFont="1" applyFill="1" applyBorder="1" applyAlignment="1">
      <alignment horizontal="right" vertical="center"/>
    </xf>
    <xf numFmtId="10" fontId="59" fillId="0" borderId="61" xfId="1" applyNumberFormat="1" applyFont="1" applyFill="1" applyBorder="1" applyAlignment="1">
      <alignment horizontal="right" vertical="center" indent="2"/>
    </xf>
    <xf numFmtId="9" fontId="12" fillId="0" borderId="4" xfId="5" applyNumberFormat="1" applyFont="1" applyFill="1" applyBorder="1" applyAlignment="1">
      <alignment horizontal="right" vertical="center" indent="3"/>
    </xf>
    <xf numFmtId="9" fontId="12" fillId="0" borderId="61" xfId="5" applyNumberFormat="1" applyFont="1" applyFill="1" applyBorder="1" applyAlignment="1">
      <alignment horizontal="right" vertical="center" indent="3"/>
    </xf>
    <xf numFmtId="9" fontId="12" fillId="0" borderId="7" xfId="5" applyNumberFormat="1" applyFont="1" applyFill="1" applyBorder="1" applyAlignment="1">
      <alignment horizontal="right" vertical="center" indent="3"/>
    </xf>
    <xf numFmtId="3" fontId="12" fillId="0" borderId="6" xfId="5" applyNumberFormat="1" applyFont="1" applyFill="1" applyBorder="1" applyAlignment="1">
      <alignment horizontal="right" vertical="center" indent="2"/>
    </xf>
    <xf numFmtId="3" fontId="12" fillId="0" borderId="71" xfId="5" applyNumberFormat="1" applyFont="1" applyFill="1" applyBorder="1" applyAlignment="1">
      <alignment horizontal="right" indent="3"/>
    </xf>
    <xf numFmtId="3" fontId="12" fillId="0" borderId="0" xfId="5" applyNumberFormat="1" applyFont="1" applyFill="1" applyBorder="1" applyAlignment="1">
      <alignment horizontal="right" vertical="center" indent="3"/>
    </xf>
    <xf numFmtId="3" fontId="12" fillId="0" borderId="75" xfId="5" applyNumberFormat="1" applyFont="1" applyFill="1" applyBorder="1" applyAlignment="1">
      <alignment horizontal="right" indent="3"/>
    </xf>
    <xf numFmtId="3" fontId="12" fillId="0" borderId="6" xfId="5" applyNumberFormat="1" applyFont="1" applyFill="1" applyBorder="1" applyAlignment="1">
      <alignment horizontal="right" vertical="center" indent="3"/>
    </xf>
    <xf numFmtId="3" fontId="12" fillId="0" borderId="68" xfId="5" applyNumberFormat="1" applyFont="1" applyFill="1" applyBorder="1" applyAlignment="1">
      <alignment horizontal="right" vertical="center" indent="3"/>
    </xf>
    <xf numFmtId="9" fontId="59" fillId="10" borderId="16" xfId="24" applyFont="1" applyFill="1" applyBorder="1" applyAlignment="1">
      <alignment horizontal="center" vertical="center" readingOrder="2"/>
    </xf>
    <xf numFmtId="9" fontId="47" fillId="0" borderId="59" xfId="27" applyFont="1" applyFill="1" applyBorder="1" applyAlignment="1">
      <alignment horizontal="right" vertical="center" indent="2"/>
    </xf>
    <xf numFmtId="3" fontId="47" fillId="0" borderId="42" xfId="5" applyNumberFormat="1" applyFont="1" applyFill="1" applyBorder="1" applyAlignment="1">
      <alignment horizontal="right" vertical="center" indent="2"/>
    </xf>
    <xf numFmtId="0" fontId="44" fillId="0" borderId="0" xfId="1" applyFont="1" applyFill="1" applyBorder="1" applyAlignment="1">
      <alignment vertical="top" wrapText="1"/>
    </xf>
    <xf numFmtId="0" fontId="17" fillId="0" borderId="40" xfId="5" applyFont="1" applyFill="1" applyBorder="1" applyAlignment="1"/>
    <xf numFmtId="0" fontId="47" fillId="0" borderId="42" xfId="5" applyFont="1" applyBorder="1" applyAlignment="1">
      <alignment horizontal="center" vertical="center"/>
    </xf>
    <xf numFmtId="0" fontId="70" fillId="0" borderId="42" xfId="5" applyFont="1" applyBorder="1" applyAlignment="1">
      <alignment horizontal="center" vertical="center"/>
    </xf>
    <xf numFmtId="0" fontId="17" fillId="0" borderId="71" xfId="1" applyFont="1" applyFill="1" applyBorder="1" applyAlignment="1"/>
    <xf numFmtId="9" fontId="47" fillId="0" borderId="75" xfId="27" applyFont="1" applyFill="1" applyBorder="1" applyAlignment="1">
      <alignment horizontal="right" vertical="center" indent="2"/>
    </xf>
    <xf numFmtId="0" fontId="47" fillId="0" borderId="61" xfId="5" applyFont="1" applyFill="1" applyBorder="1" applyAlignment="1">
      <alignment horizontal="right" vertical="center" indent="2"/>
    </xf>
    <xf numFmtId="0" fontId="47" fillId="0" borderId="42" xfId="5" applyFont="1" applyFill="1" applyBorder="1" applyAlignment="1">
      <alignment horizontal="right" vertical="center" indent="2"/>
    </xf>
    <xf numFmtId="0" fontId="70" fillId="0" borderId="35" xfId="5" applyFont="1" applyFill="1" applyBorder="1" applyAlignment="1">
      <alignment horizontal="center" vertical="center"/>
    </xf>
    <xf numFmtId="0" fontId="70" fillId="0" borderId="37" xfId="5" applyFont="1" applyBorder="1" applyAlignment="1">
      <alignment horizontal="center" vertical="center"/>
    </xf>
    <xf numFmtId="0" fontId="9" fillId="0" borderId="46" xfId="5" applyFont="1" applyFill="1" applyBorder="1" applyAlignment="1">
      <alignment horizontal="center" vertical="center"/>
    </xf>
    <xf numFmtId="3" fontId="60" fillId="0" borderId="51" xfId="5" applyNumberFormat="1" applyFont="1" applyFill="1" applyBorder="1" applyAlignment="1">
      <alignment horizontal="center" vertical="center"/>
    </xf>
    <xf numFmtId="3" fontId="60" fillId="0" borderId="75" xfId="5" applyNumberFormat="1" applyFont="1" applyFill="1" applyBorder="1" applyAlignment="1">
      <alignment horizontal="center" vertical="center"/>
    </xf>
    <xf numFmtId="0" fontId="9" fillId="0" borderId="44" xfId="5" applyFont="1" applyFill="1" applyBorder="1" applyAlignment="1">
      <alignment horizontal="center" vertical="center"/>
    </xf>
    <xf numFmtId="0" fontId="9" fillId="0" borderId="58" xfId="5" applyFont="1" applyFill="1" applyBorder="1" applyAlignment="1">
      <alignment horizontal="center" vertical="center"/>
    </xf>
    <xf numFmtId="0" fontId="9" fillId="0" borderId="58" xfId="5" applyFont="1" applyFill="1" applyBorder="1" applyAlignment="1">
      <alignment horizontal="center" vertical="center" wrapText="1"/>
    </xf>
    <xf numFmtId="3" fontId="60" fillId="2" borderId="44" xfId="5" applyNumberFormat="1" applyFont="1" applyFill="1" applyBorder="1" applyAlignment="1">
      <alignment horizontal="center" vertical="center"/>
    </xf>
    <xf numFmtId="3" fontId="60" fillId="2" borderId="58" xfId="5" applyNumberFormat="1" applyFont="1" applyFill="1" applyBorder="1" applyAlignment="1">
      <alignment horizontal="center" vertical="center"/>
    </xf>
    <xf numFmtId="0" fontId="103" fillId="2" borderId="25" xfId="48" applyFont="1" applyFill="1" applyBorder="1" applyAlignment="1">
      <alignment horizontal="right" vertical="center"/>
    </xf>
    <xf numFmtId="0" fontId="103" fillId="2" borderId="37" xfId="48" applyFont="1" applyFill="1" applyBorder="1" applyAlignment="1">
      <alignment horizontal="right" vertical="center"/>
    </xf>
    <xf numFmtId="0" fontId="103" fillId="2" borderId="6" xfId="48" applyFont="1" applyFill="1" applyBorder="1" applyAlignment="1">
      <alignment horizontal="right" vertical="center"/>
    </xf>
    <xf numFmtId="0" fontId="103" fillId="2" borderId="44" xfId="48" applyFont="1" applyFill="1" applyBorder="1" applyAlignment="1">
      <alignment horizontal="right" vertical="center"/>
    </xf>
    <xf numFmtId="0" fontId="103" fillId="2" borderId="60" xfId="48" applyFont="1" applyFill="1" applyBorder="1" applyAlignment="1">
      <alignment horizontal="right" vertical="center"/>
    </xf>
    <xf numFmtId="0" fontId="103" fillId="2" borderId="68" xfId="48" applyFont="1" applyFill="1" applyBorder="1" applyAlignment="1">
      <alignment horizontal="right" vertical="center"/>
    </xf>
    <xf numFmtId="0" fontId="103" fillId="2" borderId="5" xfId="48" applyFont="1" applyFill="1" applyBorder="1" applyAlignment="1">
      <alignment horizontal="right" vertical="center"/>
    </xf>
    <xf numFmtId="0" fontId="103" fillId="2" borderId="35" xfId="48" applyFont="1" applyFill="1" applyBorder="1" applyAlignment="1">
      <alignment horizontal="right" vertical="center"/>
    </xf>
    <xf numFmtId="0" fontId="25" fillId="2" borderId="151" xfId="84" applyFont="1" applyFill="1" applyBorder="1" applyAlignment="1">
      <alignment horizontal="center" vertical="center" wrapText="1"/>
    </xf>
    <xf numFmtId="0" fontId="25" fillId="2" borderId="152" xfId="84" applyFont="1" applyFill="1" applyBorder="1" applyAlignment="1">
      <alignment horizontal="center" vertical="center" wrapText="1"/>
    </xf>
    <xf numFmtId="0" fontId="44" fillId="2" borderId="71" xfId="48" applyFont="1" applyFill="1" applyBorder="1" applyAlignment="1">
      <alignment horizontal="center" vertical="justify"/>
    </xf>
    <xf numFmtId="0" fontId="44" fillId="2" borderId="39" xfId="48" applyFont="1" applyFill="1" applyBorder="1" applyAlignment="1">
      <alignment horizontal="center" vertical="center"/>
    </xf>
    <xf numFmtId="0" fontId="7" fillId="2" borderId="4" xfId="48" applyFont="1" applyFill="1" applyBorder="1" applyAlignment="1">
      <alignment horizontal="center" vertical="center"/>
    </xf>
    <xf numFmtId="0" fontId="25" fillId="2" borderId="155" xfId="84" applyFont="1" applyFill="1" applyBorder="1" applyAlignment="1">
      <alignment horizontal="center" vertical="center" wrapText="1"/>
    </xf>
    <xf numFmtId="0" fontId="25" fillId="2" borderId="156" xfId="84" applyFont="1" applyFill="1" applyBorder="1" applyAlignment="1">
      <alignment horizontal="center" vertical="center" wrapText="1"/>
    </xf>
    <xf numFmtId="0" fontId="25" fillId="2" borderId="151" xfId="85" applyFont="1" applyFill="1" applyBorder="1" applyAlignment="1">
      <alignment horizontal="center" vertical="center" wrapText="1"/>
    </xf>
    <xf numFmtId="0" fontId="25" fillId="2" borderId="152" xfId="85" applyFont="1" applyFill="1" applyBorder="1" applyAlignment="1">
      <alignment horizontal="center" vertical="center" wrapText="1"/>
    </xf>
    <xf numFmtId="0" fontId="44" fillId="2" borderId="70" xfId="48" applyFont="1" applyFill="1" applyBorder="1" applyAlignment="1">
      <alignment horizontal="center" vertical="justify"/>
    </xf>
    <xf numFmtId="0" fontId="34" fillId="2" borderId="143" xfId="48" applyFont="1" applyFill="1" applyBorder="1" applyAlignment="1">
      <alignment horizontal="center" vertical="center"/>
    </xf>
    <xf numFmtId="0" fontId="7" fillId="2" borderId="31" xfId="48" applyFont="1" applyFill="1" applyBorder="1" applyAlignment="1">
      <alignment horizontal="center" vertical="center"/>
    </xf>
    <xf numFmtId="0" fontId="25" fillId="2" borderId="155" xfId="85" applyFont="1" applyFill="1" applyBorder="1" applyAlignment="1">
      <alignment horizontal="center" vertical="center" wrapText="1"/>
    </xf>
    <xf numFmtId="0" fontId="25" fillId="2" borderId="156" xfId="85" applyFont="1" applyFill="1" applyBorder="1" applyAlignment="1">
      <alignment horizontal="center" vertical="center" wrapText="1"/>
    </xf>
    <xf numFmtId="0" fontId="7" fillId="2" borderId="50" xfId="48" applyFont="1" applyFill="1" applyBorder="1" applyAlignment="1">
      <alignment horizontal="center" vertical="center"/>
    </xf>
    <xf numFmtId="0" fontId="25" fillId="2" borderId="151" xfId="86" applyFont="1" applyFill="1" applyBorder="1" applyAlignment="1">
      <alignment horizontal="center" vertical="center" wrapText="1"/>
    </xf>
    <xf numFmtId="0" fontId="25" fillId="2" borderId="152" xfId="86" applyFont="1" applyFill="1" applyBorder="1" applyAlignment="1">
      <alignment horizontal="center" vertical="center" wrapText="1"/>
    </xf>
    <xf numFmtId="0" fontId="25" fillId="2" borderId="155" xfId="86" applyFont="1" applyFill="1" applyBorder="1" applyAlignment="1">
      <alignment horizontal="center" vertical="center" wrapText="1"/>
    </xf>
    <xf numFmtId="0" fontId="25" fillId="2" borderId="156" xfId="86" applyFont="1" applyFill="1" applyBorder="1" applyAlignment="1">
      <alignment horizontal="center" vertical="center" wrapText="1"/>
    </xf>
    <xf numFmtId="0" fontId="25" fillId="2" borderId="151" xfId="87" applyFont="1" applyFill="1" applyBorder="1" applyAlignment="1">
      <alignment horizontal="center" vertical="center" wrapText="1"/>
    </xf>
    <xf numFmtId="0" fontId="25" fillId="2" borderId="152" xfId="87" applyFont="1" applyFill="1" applyBorder="1" applyAlignment="1">
      <alignment horizontal="center" vertical="center" wrapText="1"/>
    </xf>
    <xf numFmtId="0" fontId="44" fillId="2" borderId="33" xfId="48" applyFont="1" applyFill="1" applyBorder="1" applyAlignment="1">
      <alignment horizontal="center" vertical="center"/>
    </xf>
    <xf numFmtId="0" fontId="25" fillId="2" borderId="155" xfId="87" applyFont="1" applyFill="1" applyBorder="1" applyAlignment="1">
      <alignment horizontal="center" vertical="center" wrapText="1"/>
    </xf>
    <xf numFmtId="0" fontId="25" fillId="2" borderId="156" xfId="87" applyFont="1" applyFill="1" applyBorder="1" applyAlignment="1">
      <alignment horizontal="center" vertical="center" wrapText="1"/>
    </xf>
    <xf numFmtId="0" fontId="44" fillId="2" borderId="12" xfId="48" applyFont="1" applyFill="1" applyBorder="1" applyAlignment="1">
      <alignment horizontal="center" vertical="center"/>
    </xf>
    <xf numFmtId="0" fontId="25" fillId="2" borderId="151" xfId="88" applyFont="1" applyFill="1" applyBorder="1" applyAlignment="1">
      <alignment horizontal="center" vertical="center" wrapText="1"/>
    </xf>
    <xf numFmtId="0" fontId="25" fillId="2" borderId="152" xfId="88" applyFont="1" applyFill="1" applyBorder="1" applyAlignment="1">
      <alignment horizontal="center" vertical="center" wrapText="1"/>
    </xf>
    <xf numFmtId="0" fontId="25" fillId="2" borderId="155" xfId="88" applyFont="1" applyFill="1" applyBorder="1" applyAlignment="1">
      <alignment horizontal="center" vertical="center" wrapText="1"/>
    </xf>
    <xf numFmtId="0" fontId="25" fillId="2" borderId="156" xfId="88" applyFont="1" applyFill="1" applyBorder="1" applyAlignment="1">
      <alignment horizontal="center" vertical="center" wrapText="1"/>
    </xf>
    <xf numFmtId="0" fontId="25" fillId="2" borderId="151" xfId="89" applyFont="1" applyFill="1" applyBorder="1" applyAlignment="1">
      <alignment horizontal="center" vertical="center" wrapText="1"/>
    </xf>
    <xf numFmtId="0" fontId="25" fillId="2" borderId="152" xfId="89" applyFont="1" applyFill="1" applyBorder="1" applyAlignment="1">
      <alignment horizontal="center" vertical="center" wrapText="1"/>
    </xf>
    <xf numFmtId="0" fontId="25" fillId="2" borderId="155" xfId="89" applyFont="1" applyFill="1" applyBorder="1" applyAlignment="1">
      <alignment horizontal="center" vertical="center" wrapText="1"/>
    </xf>
    <xf numFmtId="0" fontId="25" fillId="2" borderId="156" xfId="89" applyFont="1" applyFill="1" applyBorder="1" applyAlignment="1">
      <alignment horizontal="center" vertical="center" wrapText="1"/>
    </xf>
    <xf numFmtId="0" fontId="25" fillId="2" borderId="151" xfId="90" applyFont="1" applyFill="1" applyBorder="1" applyAlignment="1">
      <alignment horizontal="center" vertical="center" wrapText="1"/>
    </xf>
    <xf numFmtId="0" fontId="25" fillId="2" borderId="152" xfId="90" applyFont="1" applyFill="1" applyBorder="1" applyAlignment="1">
      <alignment horizontal="center" vertical="center" wrapText="1"/>
    </xf>
    <xf numFmtId="0" fontId="25" fillId="2" borderId="155" xfId="90" applyFont="1" applyFill="1" applyBorder="1" applyAlignment="1">
      <alignment horizontal="center" vertical="center" wrapText="1"/>
    </xf>
    <xf numFmtId="0" fontId="25" fillId="2" borderId="156" xfId="90" applyFont="1" applyFill="1" applyBorder="1" applyAlignment="1">
      <alignment horizontal="center" vertical="center" wrapText="1"/>
    </xf>
    <xf numFmtId="0" fontId="25" fillId="2" borderId="151" xfId="91" applyFont="1" applyFill="1" applyBorder="1" applyAlignment="1">
      <alignment horizontal="center" vertical="center" wrapText="1"/>
    </xf>
    <xf numFmtId="0" fontId="25" fillId="2" borderId="152" xfId="91" applyFont="1" applyFill="1" applyBorder="1" applyAlignment="1">
      <alignment horizontal="center" vertical="center" wrapText="1"/>
    </xf>
    <xf numFmtId="0" fontId="25" fillId="2" borderId="155" xfId="91" applyFont="1" applyFill="1" applyBorder="1" applyAlignment="1">
      <alignment horizontal="center" vertical="center" wrapText="1"/>
    </xf>
    <xf numFmtId="0" fontId="25" fillId="2" borderId="156" xfId="91" applyFont="1" applyFill="1" applyBorder="1" applyAlignment="1">
      <alignment horizontal="center" vertical="center" wrapText="1"/>
    </xf>
    <xf numFmtId="0" fontId="25" fillId="2" borderId="151" xfId="92" applyFont="1" applyFill="1" applyBorder="1" applyAlignment="1">
      <alignment horizontal="center" vertical="center" wrapText="1"/>
    </xf>
    <xf numFmtId="0" fontId="25" fillId="2" borderId="152" xfId="92" applyFont="1" applyFill="1" applyBorder="1" applyAlignment="1">
      <alignment horizontal="center" vertical="center" wrapText="1"/>
    </xf>
    <xf numFmtId="0" fontId="25" fillId="2" borderId="155" xfId="92" applyFont="1" applyFill="1" applyBorder="1" applyAlignment="1">
      <alignment horizontal="center" vertical="center" wrapText="1"/>
    </xf>
    <xf numFmtId="0" fontId="25" fillId="2" borderId="156" xfId="92" applyFont="1" applyFill="1" applyBorder="1" applyAlignment="1">
      <alignment horizontal="center" vertical="center" wrapText="1"/>
    </xf>
    <xf numFmtId="0" fontId="25" fillId="2" borderId="151" xfId="93" applyFont="1" applyFill="1" applyBorder="1" applyAlignment="1">
      <alignment horizontal="center" vertical="center" wrapText="1"/>
    </xf>
    <xf numFmtId="0" fontId="25" fillId="2" borderId="152" xfId="93" applyFont="1" applyFill="1" applyBorder="1" applyAlignment="1">
      <alignment horizontal="center" vertical="center" wrapText="1"/>
    </xf>
    <xf numFmtId="0" fontId="25" fillId="2" borderId="155" xfId="93" applyFont="1" applyFill="1" applyBorder="1" applyAlignment="1">
      <alignment horizontal="center" vertical="center" wrapText="1"/>
    </xf>
    <xf numFmtId="0" fontId="25" fillId="2" borderId="156" xfId="93" applyFont="1" applyFill="1" applyBorder="1" applyAlignment="1">
      <alignment horizontal="center" vertical="center" wrapText="1"/>
    </xf>
    <xf numFmtId="0" fontId="34" fillId="2" borderId="24" xfId="48" applyFont="1" applyFill="1" applyBorder="1" applyAlignment="1">
      <alignment horizontal="center" vertical="center"/>
    </xf>
    <xf numFmtId="0" fontId="34" fillId="2" borderId="55" xfId="48" applyFont="1" applyFill="1" applyBorder="1" applyAlignment="1">
      <alignment horizontal="center" vertical="center"/>
    </xf>
    <xf numFmtId="0" fontId="7" fillId="2" borderId="35" xfId="48" applyFont="1" applyFill="1" applyBorder="1" applyAlignment="1">
      <alignment horizontal="center" vertical="center"/>
    </xf>
    <xf numFmtId="0" fontId="34" fillId="2" borderId="71" xfId="48" applyFont="1" applyFill="1" applyBorder="1" applyAlignment="1">
      <alignment horizontal="center" vertical="center"/>
    </xf>
    <xf numFmtId="0" fontId="7" fillId="2" borderId="71" xfId="48" applyFont="1" applyFill="1" applyBorder="1" applyAlignment="1">
      <alignment horizontal="center" vertical="center"/>
    </xf>
    <xf numFmtId="0" fontId="34" fillId="2" borderId="59" xfId="48" applyFont="1" applyFill="1" applyBorder="1" applyAlignment="1">
      <alignment horizontal="center" vertical="center"/>
    </xf>
    <xf numFmtId="0" fontId="7" fillId="2" borderId="59" xfId="48" applyFont="1" applyFill="1" applyBorder="1" applyAlignment="1">
      <alignment horizontal="center" vertical="center"/>
    </xf>
    <xf numFmtId="0" fontId="44" fillId="2" borderId="6" xfId="48" applyFont="1" applyFill="1" applyBorder="1" applyAlignment="1">
      <alignment horizontal="center" vertical="center"/>
    </xf>
    <xf numFmtId="0" fontId="44" fillId="2" borderId="44" xfId="48" applyFont="1" applyFill="1" applyBorder="1" applyAlignment="1">
      <alignment horizontal="center" vertical="center"/>
    </xf>
    <xf numFmtId="0" fontId="44" fillId="2" borderId="1" xfId="48" applyFont="1" applyFill="1" applyBorder="1" applyAlignment="1">
      <alignment horizontal="right" vertical="center"/>
    </xf>
    <xf numFmtId="0" fontId="44" fillId="2" borderId="37" xfId="48" applyFont="1" applyFill="1" applyBorder="1" applyAlignment="1">
      <alignment horizontal="center" vertical="center"/>
    </xf>
    <xf numFmtId="0" fontId="44" fillId="2" borderId="35" xfId="48" applyFont="1" applyFill="1" applyBorder="1" applyAlignment="1">
      <alignment horizontal="center" vertical="center"/>
    </xf>
    <xf numFmtId="0" fontId="11" fillId="2" borderId="40" xfId="48" applyFont="1" applyFill="1" applyBorder="1" applyAlignment="1">
      <alignment horizontal="center" vertical="center"/>
    </xf>
    <xf numFmtId="0" fontId="25" fillId="2" borderId="2" xfId="49" applyFont="1" applyFill="1" applyBorder="1" applyAlignment="1">
      <alignment horizontal="center" vertical="center" wrapText="1"/>
    </xf>
    <xf numFmtId="0" fontId="25" fillId="2" borderId="40" xfId="49" applyFont="1" applyFill="1" applyBorder="1" applyAlignment="1">
      <alignment horizontal="center" vertical="center" wrapText="1"/>
    </xf>
    <xf numFmtId="0" fontId="25" fillId="2" borderId="39" xfId="49" applyFont="1" applyFill="1" applyBorder="1" applyAlignment="1">
      <alignment horizontal="center" vertical="center" wrapText="1"/>
    </xf>
    <xf numFmtId="0" fontId="25" fillId="2" borderId="4" xfId="49" applyFont="1" applyFill="1" applyBorder="1" applyAlignment="1">
      <alignment horizontal="center" vertical="center" wrapText="1"/>
    </xf>
    <xf numFmtId="0" fontId="25" fillId="2" borderId="71" xfId="50" applyFont="1" applyFill="1" applyBorder="1" applyAlignment="1">
      <alignment horizontal="center" vertical="center" wrapText="1"/>
    </xf>
    <xf numFmtId="0" fontId="34" fillId="2" borderId="38" xfId="48" applyFont="1" applyFill="1" applyBorder="1" applyAlignment="1">
      <alignment horizontal="center" vertical="center"/>
    </xf>
    <xf numFmtId="0" fontId="25" fillId="2" borderId="47" xfId="49" applyFont="1" applyFill="1" applyBorder="1" applyAlignment="1">
      <alignment horizontal="center" vertical="center" wrapText="1"/>
    </xf>
    <xf numFmtId="0" fontId="25" fillId="2" borderId="13" xfId="49" applyFont="1" applyFill="1" applyBorder="1" applyAlignment="1">
      <alignment horizontal="center" vertical="center" wrapText="1"/>
    </xf>
    <xf numFmtId="0" fontId="25" fillId="2" borderId="12" xfId="49" applyFont="1" applyFill="1" applyBorder="1" applyAlignment="1">
      <alignment horizontal="center" vertical="center" wrapText="1"/>
    </xf>
    <xf numFmtId="0" fontId="25" fillId="2" borderId="50" xfId="49" applyFont="1" applyFill="1" applyBorder="1" applyAlignment="1">
      <alignment horizontal="center" vertical="center" wrapText="1"/>
    </xf>
    <xf numFmtId="0" fontId="25" fillId="2" borderId="56" xfId="50" applyFont="1" applyFill="1" applyBorder="1" applyAlignment="1">
      <alignment horizontal="center" vertical="center" wrapText="1"/>
    </xf>
    <xf numFmtId="0" fontId="34" fillId="2" borderId="48" xfId="48" applyFont="1" applyFill="1" applyBorder="1" applyAlignment="1">
      <alignment horizontal="center" vertical="center"/>
    </xf>
    <xf numFmtId="0" fontId="34" fillId="2" borderId="72" xfId="48" applyFont="1" applyFill="1" applyBorder="1" applyAlignment="1">
      <alignment horizontal="center" vertical="center"/>
    </xf>
    <xf numFmtId="0" fontId="34" fillId="2" borderId="65" xfId="48" applyFont="1" applyFill="1" applyBorder="1" applyAlignment="1">
      <alignment horizontal="center" vertical="center"/>
    </xf>
    <xf numFmtId="0" fontId="34" fillId="2" borderId="42" xfId="48" applyFont="1" applyFill="1" applyBorder="1" applyAlignment="1">
      <alignment horizontal="center" vertical="center"/>
    </xf>
    <xf numFmtId="0" fontId="34" fillId="2" borderId="73" xfId="48" applyFont="1" applyFill="1" applyBorder="1" applyAlignment="1">
      <alignment horizontal="center" vertical="center"/>
    </xf>
    <xf numFmtId="0" fontId="34" fillId="2" borderId="61" xfId="48" applyFont="1" applyFill="1" applyBorder="1" applyAlignment="1">
      <alignment horizontal="center" vertical="center"/>
    </xf>
    <xf numFmtId="0" fontId="44" fillId="2" borderId="51" xfId="48" applyFont="1" applyFill="1" applyBorder="1" applyAlignment="1">
      <alignment horizontal="center" vertical="justify"/>
    </xf>
    <xf numFmtId="0" fontId="34" fillId="2" borderId="12" xfId="48" applyFont="1" applyFill="1" applyBorder="1" applyAlignment="1">
      <alignment horizontal="center" vertical="center"/>
    </xf>
    <xf numFmtId="0" fontId="34" fillId="2" borderId="50" xfId="48" applyFont="1" applyFill="1" applyBorder="1" applyAlignment="1">
      <alignment horizontal="center" vertical="center"/>
    </xf>
    <xf numFmtId="0" fontId="44" fillId="2" borderId="49" xfId="48" applyFont="1" applyFill="1" applyBorder="1" applyAlignment="1">
      <alignment horizontal="center" vertical="justify"/>
    </xf>
    <xf numFmtId="0" fontId="25" fillId="2" borderId="150" xfId="51" applyFont="1" applyFill="1" applyBorder="1" applyAlignment="1">
      <alignment horizontal="center" vertical="center" wrapText="1"/>
    </xf>
    <xf numFmtId="0" fontId="25" fillId="2" borderId="151" xfId="51" applyFont="1" applyFill="1" applyBorder="1" applyAlignment="1">
      <alignment horizontal="center" vertical="center" wrapText="1"/>
    </xf>
    <xf numFmtId="0" fontId="25" fillId="2" borderId="152" xfId="51" applyFont="1" applyFill="1" applyBorder="1" applyAlignment="1">
      <alignment horizontal="center" vertical="center" wrapText="1"/>
    </xf>
    <xf numFmtId="0" fontId="25" fillId="2" borderId="153" xfId="51" applyFont="1" applyFill="1" applyBorder="1" applyAlignment="1">
      <alignment horizontal="center" vertical="center" wrapText="1"/>
    </xf>
    <xf numFmtId="0" fontId="25" fillId="2" borderId="154" xfId="51" applyFont="1" applyFill="1" applyBorder="1" applyAlignment="1">
      <alignment horizontal="center" vertical="center" wrapText="1"/>
    </xf>
    <xf numFmtId="0" fontId="25" fillId="2" borderId="155" xfId="51" applyFont="1" applyFill="1" applyBorder="1" applyAlignment="1">
      <alignment horizontal="center" vertical="center" wrapText="1"/>
    </xf>
    <xf numFmtId="0" fontId="25" fillId="2" borderId="156" xfId="51" applyFont="1" applyFill="1" applyBorder="1" applyAlignment="1">
      <alignment horizontal="center" vertical="center" wrapText="1"/>
    </xf>
    <xf numFmtId="0" fontId="25" fillId="2" borderId="157" xfId="51" applyFont="1" applyFill="1" applyBorder="1" applyAlignment="1">
      <alignment horizontal="center" vertical="center" wrapText="1"/>
    </xf>
    <xf numFmtId="0" fontId="25" fillId="2" borderId="150" xfId="52" applyFont="1" applyFill="1" applyBorder="1" applyAlignment="1">
      <alignment horizontal="center" vertical="center" wrapText="1"/>
    </xf>
    <xf numFmtId="0" fontId="25" fillId="2" borderId="151" xfId="52" applyFont="1" applyFill="1" applyBorder="1" applyAlignment="1">
      <alignment horizontal="center" vertical="center" wrapText="1"/>
    </xf>
    <xf numFmtId="0" fontId="25" fillId="2" borderId="152" xfId="52" applyFont="1" applyFill="1" applyBorder="1" applyAlignment="1">
      <alignment horizontal="center" vertical="center" wrapText="1"/>
    </xf>
    <xf numFmtId="0" fontId="25" fillId="2" borderId="153" xfId="52" applyFont="1" applyFill="1" applyBorder="1" applyAlignment="1">
      <alignment horizontal="center" vertical="center" wrapText="1"/>
    </xf>
    <xf numFmtId="0" fontId="44" fillId="2" borderId="87" xfId="48" applyFont="1" applyFill="1" applyBorder="1" applyAlignment="1">
      <alignment horizontal="center" vertical="justify"/>
    </xf>
    <xf numFmtId="0" fontId="25" fillId="2" borderId="154" xfId="52" applyFont="1" applyFill="1" applyBorder="1" applyAlignment="1">
      <alignment horizontal="center" vertical="center" wrapText="1"/>
    </xf>
    <xf numFmtId="0" fontId="25" fillId="2" borderId="155" xfId="52" applyFont="1" applyFill="1" applyBorder="1" applyAlignment="1">
      <alignment horizontal="center" vertical="center" wrapText="1"/>
    </xf>
    <xf numFmtId="0" fontId="25" fillId="2" borderId="156" xfId="52" applyFont="1" applyFill="1" applyBorder="1" applyAlignment="1">
      <alignment horizontal="center" vertical="center" wrapText="1"/>
    </xf>
    <xf numFmtId="0" fontId="25" fillId="2" borderId="157" xfId="52" applyFont="1" applyFill="1" applyBorder="1" applyAlignment="1">
      <alignment horizontal="center" vertical="center" wrapText="1"/>
    </xf>
    <xf numFmtId="0" fontId="25" fillId="2" borderId="150" xfId="53" applyFont="1" applyFill="1" applyBorder="1" applyAlignment="1">
      <alignment horizontal="center" vertical="center" wrapText="1"/>
    </xf>
    <xf numFmtId="0" fontId="25" fillId="2" borderId="151" xfId="53" applyFont="1" applyFill="1" applyBorder="1" applyAlignment="1">
      <alignment horizontal="center" vertical="center" wrapText="1"/>
    </xf>
    <xf numFmtId="0" fontId="25" fillId="2" borderId="152" xfId="53" applyFont="1" applyFill="1" applyBorder="1" applyAlignment="1">
      <alignment horizontal="center" vertical="center" wrapText="1"/>
    </xf>
    <xf numFmtId="0" fontId="25" fillId="2" borderId="153" xfId="53" applyFont="1" applyFill="1" applyBorder="1" applyAlignment="1">
      <alignment horizontal="center" vertical="center" wrapText="1"/>
    </xf>
    <xf numFmtId="0" fontId="25" fillId="2" borderId="154" xfId="53" applyFont="1" applyFill="1" applyBorder="1" applyAlignment="1">
      <alignment horizontal="center" vertical="center" wrapText="1"/>
    </xf>
    <xf numFmtId="0" fontId="25" fillId="2" borderId="155" xfId="53" applyFont="1" applyFill="1" applyBorder="1" applyAlignment="1">
      <alignment horizontal="center" vertical="center" wrapText="1"/>
    </xf>
    <xf numFmtId="0" fontId="25" fillId="2" borderId="156" xfId="53" applyFont="1" applyFill="1" applyBorder="1" applyAlignment="1">
      <alignment horizontal="center" vertical="center" wrapText="1"/>
    </xf>
    <xf numFmtId="0" fontId="25" fillId="2" borderId="157" xfId="53" applyFont="1" applyFill="1" applyBorder="1" applyAlignment="1">
      <alignment horizontal="center" vertical="center" wrapText="1"/>
    </xf>
    <xf numFmtId="0" fontId="25" fillId="2" borderId="150" xfId="54" applyFont="1" applyFill="1" applyBorder="1" applyAlignment="1">
      <alignment horizontal="center" vertical="center" wrapText="1"/>
    </xf>
    <xf numFmtId="0" fontId="25" fillId="2" borderId="151" xfId="54" applyFont="1" applyFill="1" applyBorder="1" applyAlignment="1">
      <alignment horizontal="center" vertical="center" wrapText="1"/>
    </xf>
    <xf numFmtId="0" fontId="25" fillId="2" borderId="152" xfId="54" applyFont="1" applyFill="1" applyBorder="1" applyAlignment="1">
      <alignment horizontal="center" vertical="center" wrapText="1"/>
    </xf>
    <xf numFmtId="0" fontId="25" fillId="2" borderId="153" xfId="54" applyFont="1" applyFill="1" applyBorder="1" applyAlignment="1">
      <alignment horizontal="center" vertical="center" wrapText="1"/>
    </xf>
    <xf numFmtId="0" fontId="25" fillId="2" borderId="154" xfId="54" applyFont="1" applyFill="1" applyBorder="1" applyAlignment="1">
      <alignment horizontal="center" vertical="center" wrapText="1"/>
    </xf>
    <xf numFmtId="0" fontId="25" fillId="2" borderId="155" xfId="54" applyFont="1" applyFill="1" applyBorder="1" applyAlignment="1">
      <alignment horizontal="center" vertical="center" wrapText="1"/>
    </xf>
    <xf numFmtId="0" fontId="25" fillId="2" borderId="156" xfId="54" applyFont="1" applyFill="1" applyBorder="1" applyAlignment="1">
      <alignment horizontal="center" vertical="center" wrapText="1"/>
    </xf>
    <xf numFmtId="0" fontId="25" fillId="2" borderId="157" xfId="54" applyFont="1" applyFill="1" applyBorder="1" applyAlignment="1">
      <alignment horizontal="center" vertical="center" wrapText="1"/>
    </xf>
    <xf numFmtId="0" fontId="25" fillId="2" borderId="150" xfId="55" applyFont="1" applyFill="1" applyBorder="1" applyAlignment="1">
      <alignment horizontal="center" vertical="center" wrapText="1"/>
    </xf>
    <xf numFmtId="0" fontId="25" fillId="2" borderId="151" xfId="55" applyFont="1" applyFill="1" applyBorder="1" applyAlignment="1">
      <alignment horizontal="center" vertical="center" wrapText="1"/>
    </xf>
    <xf numFmtId="0" fontId="25" fillId="2" borderId="152" xfId="55" applyFont="1" applyFill="1" applyBorder="1" applyAlignment="1">
      <alignment horizontal="center" vertical="center" wrapText="1"/>
    </xf>
    <xf numFmtId="0" fontId="25" fillId="2" borderId="153" xfId="55" applyFont="1" applyFill="1" applyBorder="1" applyAlignment="1">
      <alignment horizontal="center" vertical="center" wrapText="1"/>
    </xf>
    <xf numFmtId="0" fontId="25" fillId="2" borderId="154" xfId="55" applyFont="1" applyFill="1" applyBorder="1" applyAlignment="1">
      <alignment horizontal="center" vertical="center" wrapText="1"/>
    </xf>
    <xf numFmtId="0" fontId="25" fillId="2" borderId="155" xfId="55" applyFont="1" applyFill="1" applyBorder="1" applyAlignment="1">
      <alignment horizontal="center" vertical="center" wrapText="1"/>
    </xf>
    <xf numFmtId="0" fontId="25" fillId="2" borderId="156" xfId="55" applyFont="1" applyFill="1" applyBorder="1" applyAlignment="1">
      <alignment horizontal="center" vertical="center" wrapText="1"/>
    </xf>
    <xf numFmtId="0" fontId="25" fillId="2" borderId="157" xfId="55" applyFont="1" applyFill="1" applyBorder="1" applyAlignment="1">
      <alignment horizontal="center" vertical="center" wrapText="1"/>
    </xf>
    <xf numFmtId="0" fontId="25" fillId="2" borderId="150" xfId="56" applyFont="1" applyFill="1" applyBorder="1" applyAlignment="1">
      <alignment horizontal="center" vertical="center" wrapText="1"/>
    </xf>
    <xf numFmtId="0" fontId="25" fillId="2" borderId="151" xfId="56" applyFont="1" applyFill="1" applyBorder="1" applyAlignment="1">
      <alignment horizontal="center" vertical="center" wrapText="1"/>
    </xf>
    <xf numFmtId="0" fontId="25" fillId="2" borderId="152" xfId="56" applyFont="1" applyFill="1" applyBorder="1" applyAlignment="1">
      <alignment horizontal="center" vertical="center" wrapText="1"/>
    </xf>
    <xf numFmtId="0" fontId="25" fillId="2" borderId="153" xfId="56" applyFont="1" applyFill="1" applyBorder="1" applyAlignment="1">
      <alignment horizontal="center" vertical="center" wrapText="1"/>
    </xf>
    <xf numFmtId="0" fontId="25" fillId="2" borderId="154" xfId="56" applyFont="1" applyFill="1" applyBorder="1" applyAlignment="1">
      <alignment horizontal="center" vertical="center" wrapText="1"/>
    </xf>
    <xf numFmtId="0" fontId="25" fillId="2" borderId="155" xfId="56" applyFont="1" applyFill="1" applyBorder="1" applyAlignment="1">
      <alignment horizontal="center" vertical="center" wrapText="1"/>
    </xf>
    <xf numFmtId="0" fontId="25" fillId="2" borderId="156" xfId="56" applyFont="1" applyFill="1" applyBorder="1" applyAlignment="1">
      <alignment horizontal="center" vertical="center" wrapText="1"/>
    </xf>
    <xf numFmtId="0" fontId="25" fillId="2" borderId="157" xfId="56" applyFont="1" applyFill="1" applyBorder="1" applyAlignment="1">
      <alignment horizontal="center" vertical="center" wrapText="1"/>
    </xf>
    <xf numFmtId="0" fontId="34" fillId="2" borderId="32" xfId="48" applyFont="1" applyFill="1" applyBorder="1" applyAlignment="1">
      <alignment horizontal="center" vertical="center"/>
    </xf>
    <xf numFmtId="0" fontId="34" fillId="2" borderId="33" xfId="48" applyFont="1" applyFill="1" applyBorder="1" applyAlignment="1">
      <alignment horizontal="center" vertical="center"/>
    </xf>
    <xf numFmtId="0" fontId="34" fillId="2" borderId="31" xfId="48" applyFont="1" applyFill="1" applyBorder="1" applyAlignment="1">
      <alignment horizontal="center" vertical="center"/>
    </xf>
    <xf numFmtId="0" fontId="25" fillId="2" borderId="150" xfId="57" applyFont="1" applyFill="1" applyBorder="1" applyAlignment="1">
      <alignment horizontal="center" vertical="center" wrapText="1"/>
    </xf>
    <xf numFmtId="0" fontId="25" fillId="2" borderId="151" xfId="57" applyFont="1" applyFill="1" applyBorder="1" applyAlignment="1">
      <alignment horizontal="center" vertical="center" wrapText="1"/>
    </xf>
    <xf numFmtId="0" fontId="25" fillId="2" borderId="152" xfId="57" applyFont="1" applyFill="1" applyBorder="1" applyAlignment="1">
      <alignment horizontal="center" vertical="center" wrapText="1"/>
    </xf>
    <xf numFmtId="0" fontId="25" fillId="2" borderId="153" xfId="57" applyFont="1" applyFill="1" applyBorder="1" applyAlignment="1">
      <alignment horizontal="center" vertical="center" wrapText="1"/>
    </xf>
    <xf numFmtId="0" fontId="25" fillId="2" borderId="154" xfId="57" applyFont="1" applyFill="1" applyBorder="1" applyAlignment="1">
      <alignment horizontal="center" vertical="center" wrapText="1"/>
    </xf>
    <xf numFmtId="0" fontId="25" fillId="2" borderId="155" xfId="57" applyFont="1" applyFill="1" applyBorder="1" applyAlignment="1">
      <alignment horizontal="center" vertical="center" wrapText="1"/>
    </xf>
    <xf numFmtId="0" fontId="25" fillId="2" borderId="156" xfId="57" applyFont="1" applyFill="1" applyBorder="1" applyAlignment="1">
      <alignment horizontal="center" vertical="center" wrapText="1"/>
    </xf>
    <xf numFmtId="0" fontId="25" fillId="2" borderId="157" xfId="57" applyFont="1" applyFill="1" applyBorder="1" applyAlignment="1">
      <alignment horizontal="center" vertical="center" wrapText="1"/>
    </xf>
    <xf numFmtId="0" fontId="25" fillId="2" borderId="150" xfId="58" applyFont="1" applyFill="1" applyBorder="1" applyAlignment="1">
      <alignment horizontal="center" vertical="center" wrapText="1"/>
    </xf>
    <xf numFmtId="0" fontId="25" fillId="2" borderId="151" xfId="58" applyFont="1" applyFill="1" applyBorder="1" applyAlignment="1">
      <alignment horizontal="center" vertical="center" wrapText="1"/>
    </xf>
    <xf numFmtId="0" fontId="25" fillId="2" borderId="152" xfId="58" applyFont="1" applyFill="1" applyBorder="1" applyAlignment="1">
      <alignment horizontal="center" vertical="center" wrapText="1"/>
    </xf>
    <xf numFmtId="0" fontId="25" fillId="2" borderId="153" xfId="58" applyFont="1" applyFill="1" applyBorder="1" applyAlignment="1">
      <alignment horizontal="center" vertical="center" wrapText="1"/>
    </xf>
    <xf numFmtId="0" fontId="44" fillId="2" borderId="73" xfId="48" applyFont="1" applyFill="1" applyBorder="1" applyAlignment="1">
      <alignment horizontal="center" vertical="justify"/>
    </xf>
    <xf numFmtId="0" fontId="25" fillId="2" borderId="154" xfId="58" applyFont="1" applyFill="1" applyBorder="1" applyAlignment="1">
      <alignment horizontal="center" vertical="center" wrapText="1"/>
    </xf>
    <xf numFmtId="0" fontId="25" fillId="2" borderId="155" xfId="58" applyFont="1" applyFill="1" applyBorder="1" applyAlignment="1">
      <alignment horizontal="center" vertical="center" wrapText="1"/>
    </xf>
    <xf numFmtId="0" fontId="25" fillId="2" borderId="156" xfId="58" applyFont="1" applyFill="1" applyBorder="1" applyAlignment="1">
      <alignment horizontal="center" vertical="center" wrapText="1"/>
    </xf>
    <xf numFmtId="0" fontId="25" fillId="2" borderId="157" xfId="58" applyFont="1" applyFill="1" applyBorder="1" applyAlignment="1">
      <alignment horizontal="center" vertical="center" wrapText="1"/>
    </xf>
    <xf numFmtId="0" fontId="34" fillId="2" borderId="13" xfId="48" applyFont="1" applyFill="1" applyBorder="1" applyAlignment="1">
      <alignment horizontal="center" vertical="center"/>
    </xf>
    <xf numFmtId="0" fontId="44" fillId="2" borderId="12" xfId="48" applyFont="1" applyFill="1" applyBorder="1" applyAlignment="1">
      <alignment horizontal="center" vertical="justify"/>
    </xf>
    <xf numFmtId="0" fontId="25" fillId="2" borderId="150" xfId="59" applyFont="1" applyFill="1" applyBorder="1" applyAlignment="1">
      <alignment horizontal="center" vertical="center" wrapText="1"/>
    </xf>
    <xf numFmtId="0" fontId="25" fillId="2" borderId="151" xfId="59" applyFont="1" applyFill="1" applyBorder="1" applyAlignment="1">
      <alignment horizontal="center" vertical="center" wrapText="1"/>
    </xf>
    <xf numFmtId="0" fontId="25" fillId="2" borderId="152" xfId="59" applyFont="1" applyFill="1" applyBorder="1" applyAlignment="1">
      <alignment horizontal="center" vertical="center" wrapText="1"/>
    </xf>
    <xf numFmtId="0" fontId="25" fillId="2" borderId="153" xfId="59" applyFont="1" applyFill="1" applyBorder="1" applyAlignment="1">
      <alignment horizontal="center" vertical="center" wrapText="1"/>
    </xf>
    <xf numFmtId="0" fontId="25" fillId="2" borderId="154" xfId="59" applyFont="1" applyFill="1" applyBorder="1" applyAlignment="1">
      <alignment horizontal="center" vertical="center" wrapText="1"/>
    </xf>
    <xf numFmtId="0" fontId="25" fillId="2" borderId="155" xfId="59" applyFont="1" applyFill="1" applyBorder="1" applyAlignment="1">
      <alignment horizontal="center" vertical="center" wrapText="1"/>
    </xf>
    <xf numFmtId="0" fontId="25" fillId="2" borderId="156" xfId="59" applyFont="1" applyFill="1" applyBorder="1" applyAlignment="1">
      <alignment horizontal="center" vertical="center" wrapText="1"/>
    </xf>
    <xf numFmtId="0" fontId="25" fillId="2" borderId="157" xfId="59" applyFont="1" applyFill="1" applyBorder="1" applyAlignment="1">
      <alignment horizontal="center" vertical="center" wrapText="1"/>
    </xf>
    <xf numFmtId="0" fontId="25" fillId="2" borderId="150" xfId="60" applyFont="1" applyFill="1" applyBorder="1" applyAlignment="1">
      <alignment horizontal="center" vertical="center" wrapText="1"/>
    </xf>
    <xf numFmtId="0" fontId="25" fillId="2" borderId="151" xfId="60" applyFont="1" applyFill="1" applyBorder="1" applyAlignment="1">
      <alignment horizontal="center" vertical="center" wrapText="1"/>
    </xf>
    <xf numFmtId="0" fontId="25" fillId="2" borderId="152" xfId="60" applyFont="1" applyFill="1" applyBorder="1" applyAlignment="1">
      <alignment horizontal="center" vertical="center" wrapText="1"/>
    </xf>
    <xf numFmtId="0" fontId="25" fillId="2" borderId="153" xfId="60" applyFont="1" applyFill="1" applyBorder="1" applyAlignment="1">
      <alignment horizontal="center" vertical="center" wrapText="1"/>
    </xf>
    <xf numFmtId="0" fontId="25" fillId="2" borderId="25" xfId="60" applyFont="1" applyFill="1" applyBorder="1" applyAlignment="1">
      <alignment horizontal="center" vertical="center" wrapText="1"/>
    </xf>
    <xf numFmtId="0" fontId="25" fillId="2" borderId="158" xfId="60" applyFont="1" applyFill="1" applyBorder="1" applyAlignment="1">
      <alignment horizontal="center" vertical="center" wrapText="1"/>
    </xf>
    <xf numFmtId="0" fontId="25" fillId="2" borderId="159" xfId="60" applyFont="1" applyFill="1" applyBorder="1" applyAlignment="1">
      <alignment horizontal="center" vertical="center" wrapText="1"/>
    </xf>
    <xf numFmtId="0" fontId="25" fillId="2" borderId="160" xfId="60" applyFont="1" applyFill="1" applyBorder="1" applyAlignment="1">
      <alignment horizontal="center" vertical="center" wrapText="1"/>
    </xf>
    <xf numFmtId="0" fontId="44" fillId="2" borderId="88" xfId="48" applyFont="1" applyFill="1" applyBorder="1" applyAlignment="1">
      <alignment horizontal="center" vertical="justify"/>
    </xf>
    <xf numFmtId="0" fontId="7" fillId="2" borderId="36" xfId="48" applyFont="1" applyFill="1" applyBorder="1" applyAlignment="1">
      <alignment horizontal="center" vertical="center"/>
    </xf>
    <xf numFmtId="0" fontId="25" fillId="2" borderId="155" xfId="61" applyFont="1" applyFill="1" applyBorder="1" applyAlignment="1">
      <alignment horizontal="center" vertical="center" wrapText="1"/>
    </xf>
    <xf numFmtId="0" fontId="25" fillId="2" borderId="156" xfId="61" applyFont="1" applyFill="1" applyBorder="1" applyAlignment="1">
      <alignment horizontal="center" vertical="center" wrapText="1"/>
    </xf>
    <xf numFmtId="0" fontId="25" fillId="2" borderId="151" xfId="62" applyFont="1" applyFill="1" applyBorder="1" applyAlignment="1">
      <alignment horizontal="center" vertical="center" wrapText="1"/>
    </xf>
    <xf numFmtId="0" fontId="25" fillId="2" borderId="152" xfId="62" applyFont="1" applyFill="1" applyBorder="1" applyAlignment="1">
      <alignment horizontal="center" vertical="center" wrapText="1"/>
    </xf>
    <xf numFmtId="0" fontId="25" fillId="2" borderId="155" xfId="62" applyFont="1" applyFill="1" applyBorder="1" applyAlignment="1">
      <alignment horizontal="center" vertical="center" wrapText="1"/>
    </xf>
    <xf numFmtId="0" fontId="25" fillId="2" borderId="156" xfId="62" applyFont="1" applyFill="1" applyBorder="1" applyAlignment="1">
      <alignment horizontal="center" vertical="center" wrapText="1"/>
    </xf>
    <xf numFmtId="0" fontId="25" fillId="2" borderId="151" xfId="63" applyFont="1" applyFill="1" applyBorder="1" applyAlignment="1">
      <alignment horizontal="center" vertical="center" wrapText="1"/>
    </xf>
    <xf numFmtId="0" fontId="25" fillId="2" borderId="152" xfId="63" applyFont="1" applyFill="1" applyBorder="1" applyAlignment="1">
      <alignment horizontal="center" vertical="center" wrapText="1"/>
    </xf>
    <xf numFmtId="0" fontId="25" fillId="2" borderId="161" xfId="63" applyFont="1" applyFill="1" applyBorder="1" applyAlignment="1">
      <alignment horizontal="center" vertical="center" wrapText="1"/>
    </xf>
    <xf numFmtId="0" fontId="25" fillId="2" borderId="162" xfId="63" applyFont="1" applyFill="1" applyBorder="1" applyAlignment="1">
      <alignment horizontal="center" vertical="center" wrapText="1"/>
    </xf>
    <xf numFmtId="0" fontId="25" fillId="2" borderId="161" xfId="64" applyFont="1" applyFill="1" applyBorder="1" applyAlignment="1">
      <alignment horizontal="center" vertical="center" wrapText="1"/>
    </xf>
    <xf numFmtId="0" fontId="25" fillId="2" borderId="162" xfId="64" applyFont="1" applyFill="1" applyBorder="1" applyAlignment="1">
      <alignment horizontal="center" vertical="center" wrapText="1"/>
    </xf>
    <xf numFmtId="0" fontId="25" fillId="2" borderId="155" xfId="64" applyFont="1" applyFill="1" applyBorder="1" applyAlignment="1">
      <alignment horizontal="center" vertical="center" wrapText="1"/>
    </xf>
    <xf numFmtId="0" fontId="25" fillId="2" borderId="156" xfId="64" applyFont="1" applyFill="1" applyBorder="1" applyAlignment="1">
      <alignment horizontal="center" vertical="center" wrapText="1"/>
    </xf>
    <xf numFmtId="0" fontId="25" fillId="2" borderId="151" xfId="65" applyFont="1" applyFill="1" applyBorder="1" applyAlignment="1">
      <alignment horizontal="center" vertical="center" wrapText="1"/>
    </xf>
    <xf numFmtId="0" fontId="25" fillId="2" borderId="152" xfId="65" applyFont="1" applyFill="1" applyBorder="1" applyAlignment="1">
      <alignment horizontal="center" vertical="center" wrapText="1"/>
    </xf>
    <xf numFmtId="0" fontId="25" fillId="2" borderId="155" xfId="65" applyFont="1" applyFill="1" applyBorder="1" applyAlignment="1">
      <alignment horizontal="center" vertical="center" wrapText="1"/>
    </xf>
    <xf numFmtId="0" fontId="25" fillId="2" borderId="156" xfId="65" applyFont="1" applyFill="1" applyBorder="1" applyAlignment="1">
      <alignment horizontal="center" vertical="center" wrapText="1"/>
    </xf>
    <xf numFmtId="0" fontId="25" fillId="2" borderId="151" xfId="66" applyFont="1" applyFill="1" applyBorder="1" applyAlignment="1">
      <alignment horizontal="center" vertical="center" wrapText="1"/>
    </xf>
    <xf numFmtId="0" fontId="25" fillId="2" borderId="152" xfId="66" applyFont="1" applyFill="1" applyBorder="1" applyAlignment="1">
      <alignment horizontal="center" vertical="center" wrapText="1"/>
    </xf>
    <xf numFmtId="0" fontId="25" fillId="2" borderId="155" xfId="66" applyFont="1" applyFill="1" applyBorder="1" applyAlignment="1">
      <alignment horizontal="center" vertical="center" wrapText="1"/>
    </xf>
    <xf numFmtId="0" fontId="25" fillId="2" borderId="156" xfId="66" applyFont="1" applyFill="1" applyBorder="1" applyAlignment="1">
      <alignment horizontal="center" vertical="center" wrapText="1"/>
    </xf>
    <xf numFmtId="0" fontId="25" fillId="2" borderId="151" xfId="67" applyFont="1" applyFill="1" applyBorder="1" applyAlignment="1">
      <alignment horizontal="center" vertical="center" wrapText="1"/>
    </xf>
    <xf numFmtId="0" fontId="25" fillId="2" borderId="152" xfId="67" applyFont="1" applyFill="1" applyBorder="1" applyAlignment="1">
      <alignment horizontal="center" vertical="center" wrapText="1"/>
    </xf>
    <xf numFmtId="0" fontId="25" fillId="2" borderId="155" xfId="67" applyFont="1" applyFill="1" applyBorder="1" applyAlignment="1">
      <alignment horizontal="center" vertical="center" wrapText="1"/>
    </xf>
    <xf numFmtId="0" fontId="25" fillId="2" borderId="156" xfId="67" applyFont="1" applyFill="1" applyBorder="1" applyAlignment="1">
      <alignment horizontal="center" vertical="center" wrapText="1"/>
    </xf>
    <xf numFmtId="0" fontId="25" fillId="2" borderId="151" xfId="68" applyFont="1" applyFill="1" applyBorder="1" applyAlignment="1">
      <alignment horizontal="center" vertical="center" wrapText="1"/>
    </xf>
    <xf numFmtId="0" fontId="25" fillId="2" borderId="152" xfId="68" applyFont="1" applyFill="1" applyBorder="1" applyAlignment="1">
      <alignment horizontal="center" vertical="center" wrapText="1"/>
    </xf>
    <xf numFmtId="0" fontId="25" fillId="2" borderId="155" xfId="68" applyFont="1" applyFill="1" applyBorder="1" applyAlignment="1">
      <alignment horizontal="center" vertical="center" wrapText="1"/>
    </xf>
    <xf numFmtId="0" fontId="25" fillId="2" borderId="156" xfId="68" applyFont="1" applyFill="1" applyBorder="1" applyAlignment="1">
      <alignment horizontal="center" vertical="center" wrapText="1"/>
    </xf>
    <xf numFmtId="0" fontId="11" fillId="2" borderId="0" xfId="48" applyFont="1" applyFill="1" applyBorder="1" applyAlignment="1">
      <alignment horizontal="center" vertical="center"/>
    </xf>
    <xf numFmtId="0" fontId="16" fillId="2" borderId="0" xfId="48" applyFont="1" applyFill="1" applyBorder="1" applyAlignment="1">
      <alignment horizontal="right" vertical="justify"/>
    </xf>
    <xf numFmtId="0" fontId="16" fillId="2" borderId="0" xfId="48" applyFont="1" applyFill="1" applyBorder="1" applyAlignment="1">
      <alignment horizontal="center" vertical="justify"/>
    </xf>
    <xf numFmtId="0" fontId="11" fillId="2" borderId="38" xfId="48" applyFont="1" applyFill="1" applyBorder="1" applyAlignment="1">
      <alignment horizontal="center" vertical="center"/>
    </xf>
    <xf numFmtId="0" fontId="11" fillId="2" borderId="62" xfId="48" applyFont="1" applyFill="1" applyBorder="1" applyAlignment="1">
      <alignment horizontal="center" vertical="center"/>
    </xf>
    <xf numFmtId="0" fontId="11" fillId="2" borderId="39" xfId="48" applyFont="1" applyFill="1" applyBorder="1" applyAlignment="1">
      <alignment horizontal="center" vertical="center"/>
    </xf>
    <xf numFmtId="0" fontId="16" fillId="2" borderId="71" xfId="48" applyFont="1" applyFill="1" applyBorder="1" applyAlignment="1">
      <alignment horizontal="center" vertical="justify"/>
    </xf>
    <xf numFmtId="0" fontId="10" fillId="2" borderId="4" xfId="48" applyFont="1" applyFill="1" applyBorder="1" applyAlignment="1">
      <alignment horizontal="center" vertical="center"/>
    </xf>
    <xf numFmtId="0" fontId="25" fillId="2" borderId="161" xfId="69" applyFont="1" applyFill="1" applyBorder="1" applyAlignment="1">
      <alignment horizontal="center" vertical="center" wrapText="1"/>
    </xf>
    <xf numFmtId="0" fontId="25" fillId="2" borderId="162" xfId="69" applyFont="1" applyFill="1" applyBorder="1" applyAlignment="1">
      <alignment horizontal="center" vertical="center" wrapText="1"/>
    </xf>
    <xf numFmtId="0" fontId="25" fillId="2" borderId="155" xfId="69" applyFont="1" applyFill="1" applyBorder="1" applyAlignment="1">
      <alignment horizontal="center" vertical="center" wrapText="1"/>
    </xf>
    <xf numFmtId="0" fontId="25" fillId="2" borderId="156" xfId="69" applyFont="1" applyFill="1" applyBorder="1" applyAlignment="1">
      <alignment horizontal="center" vertical="center" wrapText="1"/>
    </xf>
    <xf numFmtId="0" fontId="25" fillId="2" borderId="151" xfId="70" applyFont="1" applyFill="1" applyBorder="1" applyAlignment="1">
      <alignment horizontal="center" vertical="center" wrapText="1"/>
    </xf>
    <xf numFmtId="0" fontId="25" fillId="2" borderId="152" xfId="70" applyFont="1" applyFill="1" applyBorder="1" applyAlignment="1">
      <alignment horizontal="center" vertical="center" wrapText="1"/>
    </xf>
    <xf numFmtId="0" fontId="25" fillId="2" borderId="155" xfId="70" applyFont="1" applyFill="1" applyBorder="1" applyAlignment="1">
      <alignment horizontal="center" vertical="center" wrapText="1"/>
    </xf>
    <xf numFmtId="0" fontId="25" fillId="2" borderId="156" xfId="70" applyFont="1" applyFill="1" applyBorder="1" applyAlignment="1">
      <alignment horizontal="center" vertical="center" wrapText="1"/>
    </xf>
    <xf numFmtId="0" fontId="34" fillId="2" borderId="34" xfId="48" applyFont="1" applyFill="1" applyBorder="1" applyAlignment="1">
      <alignment horizontal="center" vertical="center"/>
    </xf>
    <xf numFmtId="0" fontId="25" fillId="2" borderId="151" xfId="71" applyFont="1" applyFill="1" applyBorder="1" applyAlignment="1">
      <alignment horizontal="center" vertical="center" wrapText="1"/>
    </xf>
    <xf numFmtId="0" fontId="25" fillId="2" borderId="152" xfId="71" applyFont="1" applyFill="1" applyBorder="1" applyAlignment="1">
      <alignment horizontal="center" vertical="center" wrapText="1"/>
    </xf>
    <xf numFmtId="0" fontId="25" fillId="2" borderId="155" xfId="71" applyFont="1" applyFill="1" applyBorder="1" applyAlignment="1">
      <alignment horizontal="center" vertical="center" wrapText="1"/>
    </xf>
    <xf numFmtId="0" fontId="25" fillId="2" borderId="156" xfId="71" applyFont="1" applyFill="1" applyBorder="1" applyAlignment="1">
      <alignment horizontal="center" vertical="center" wrapText="1"/>
    </xf>
    <xf numFmtId="0" fontId="34" fillId="2" borderId="62" xfId="48" applyFont="1" applyFill="1" applyBorder="1" applyAlignment="1">
      <alignment horizontal="center" vertical="center"/>
    </xf>
    <xf numFmtId="0" fontId="34" fillId="2" borderId="39" xfId="48" applyFont="1" applyFill="1" applyBorder="1" applyAlignment="1">
      <alignment horizontal="center" vertical="center"/>
    </xf>
    <xf numFmtId="0" fontId="34" fillId="2" borderId="40" xfId="48" applyFont="1" applyFill="1" applyBorder="1" applyAlignment="1">
      <alignment horizontal="center" vertical="center"/>
    </xf>
    <xf numFmtId="0" fontId="25" fillId="2" borderId="161" xfId="72" applyFont="1" applyFill="1" applyBorder="1" applyAlignment="1">
      <alignment horizontal="center" vertical="center" wrapText="1"/>
    </xf>
    <xf numFmtId="0" fontId="25" fillId="2" borderId="162" xfId="72" applyFont="1" applyFill="1" applyBorder="1" applyAlignment="1">
      <alignment horizontal="center" vertical="center" wrapText="1"/>
    </xf>
    <xf numFmtId="0" fontId="25" fillId="2" borderId="155" xfId="72" applyFont="1" applyFill="1" applyBorder="1" applyAlignment="1">
      <alignment horizontal="center" vertical="center" wrapText="1"/>
    </xf>
    <xf numFmtId="0" fontId="25" fillId="2" borderId="156" xfId="72" applyFont="1" applyFill="1" applyBorder="1" applyAlignment="1">
      <alignment horizontal="center" vertical="center" wrapText="1"/>
    </xf>
    <xf numFmtId="0" fontId="25" fillId="2" borderId="151" xfId="73" applyFont="1" applyFill="1" applyBorder="1" applyAlignment="1">
      <alignment horizontal="center" vertical="center" wrapText="1"/>
    </xf>
    <xf numFmtId="0" fontId="25" fillId="2" borderId="152" xfId="73" applyFont="1" applyFill="1" applyBorder="1" applyAlignment="1">
      <alignment horizontal="center" vertical="center" wrapText="1"/>
    </xf>
    <xf numFmtId="0" fontId="25" fillId="2" borderId="155" xfId="73" applyFont="1" applyFill="1" applyBorder="1" applyAlignment="1">
      <alignment horizontal="center" vertical="center" wrapText="1"/>
    </xf>
    <xf numFmtId="0" fontId="25" fillId="2" borderId="156" xfId="73" applyFont="1" applyFill="1" applyBorder="1" applyAlignment="1">
      <alignment horizontal="center" vertical="center" wrapText="1"/>
    </xf>
    <xf numFmtId="0" fontId="25" fillId="2" borderId="151" xfId="74" applyFont="1" applyFill="1" applyBorder="1" applyAlignment="1">
      <alignment horizontal="center" vertical="center" wrapText="1"/>
    </xf>
    <xf numFmtId="0" fontId="25" fillId="2" borderId="152" xfId="74" applyFont="1" applyFill="1" applyBorder="1" applyAlignment="1">
      <alignment horizontal="center" vertical="center" wrapText="1"/>
    </xf>
    <xf numFmtId="0" fontId="25" fillId="2" borderId="155" xfId="74" applyFont="1" applyFill="1" applyBorder="1" applyAlignment="1">
      <alignment horizontal="center" vertical="center" wrapText="1"/>
    </xf>
    <xf numFmtId="0" fontId="25" fillId="2" borderId="156" xfId="74" applyFont="1" applyFill="1" applyBorder="1" applyAlignment="1">
      <alignment horizontal="center" vertical="center" wrapText="1"/>
    </xf>
    <xf numFmtId="0" fontId="25" fillId="2" borderId="151" xfId="75" applyFont="1" applyFill="1" applyBorder="1" applyAlignment="1">
      <alignment horizontal="center" vertical="center" wrapText="1"/>
    </xf>
    <xf numFmtId="0" fontId="25" fillId="2" borderId="152" xfId="75" applyFont="1" applyFill="1" applyBorder="1" applyAlignment="1">
      <alignment horizontal="center" vertical="center" wrapText="1"/>
    </xf>
    <xf numFmtId="0" fontId="25" fillId="2" borderId="155" xfId="75" applyFont="1" applyFill="1" applyBorder="1" applyAlignment="1">
      <alignment horizontal="center" vertical="center" wrapText="1"/>
    </xf>
    <xf numFmtId="0" fontId="25" fillId="2" borderId="156" xfId="75" applyFont="1" applyFill="1" applyBorder="1" applyAlignment="1">
      <alignment horizontal="center" vertical="center" wrapText="1"/>
    </xf>
    <xf numFmtId="0" fontId="25" fillId="2" borderId="151" xfId="76" applyFont="1" applyFill="1" applyBorder="1" applyAlignment="1">
      <alignment horizontal="center" vertical="center" wrapText="1"/>
    </xf>
    <xf numFmtId="0" fontId="25" fillId="2" borderId="152" xfId="76" applyFont="1" applyFill="1" applyBorder="1" applyAlignment="1">
      <alignment horizontal="center" vertical="center" wrapText="1"/>
    </xf>
    <xf numFmtId="0" fontId="25" fillId="2" borderId="155" xfId="76" applyFont="1" applyFill="1" applyBorder="1" applyAlignment="1">
      <alignment horizontal="center" vertical="center" wrapText="1"/>
    </xf>
    <xf numFmtId="0" fontId="25" fillId="2" borderId="156" xfId="76" applyFont="1" applyFill="1" applyBorder="1" applyAlignment="1">
      <alignment horizontal="center" vertical="center" wrapText="1"/>
    </xf>
    <xf numFmtId="0" fontId="7" fillId="2" borderId="69" xfId="48" applyFont="1" applyFill="1" applyBorder="1" applyAlignment="1">
      <alignment horizontal="center" vertical="center"/>
    </xf>
    <xf numFmtId="0" fontId="25" fillId="2" borderId="161" xfId="77" applyFont="1" applyFill="1" applyBorder="1" applyAlignment="1">
      <alignment horizontal="center" vertical="center" wrapText="1"/>
    </xf>
    <xf numFmtId="0" fontId="25" fillId="2" borderId="162" xfId="77" applyFont="1" applyFill="1" applyBorder="1" applyAlignment="1">
      <alignment horizontal="center" vertical="center" wrapText="1"/>
    </xf>
    <xf numFmtId="0" fontId="7" fillId="2" borderId="51" xfId="48" applyFont="1" applyFill="1" applyBorder="1" applyAlignment="1">
      <alignment horizontal="center" vertical="center"/>
    </xf>
    <xf numFmtId="0" fontId="25" fillId="2" borderId="155" xfId="77" applyFont="1" applyFill="1" applyBorder="1" applyAlignment="1">
      <alignment horizontal="center" vertical="center" wrapText="1"/>
    </xf>
    <xf numFmtId="0" fontId="25" fillId="2" borderId="156" xfId="77" applyFont="1" applyFill="1" applyBorder="1" applyAlignment="1">
      <alignment horizontal="center" vertical="center" wrapText="1"/>
    </xf>
    <xf numFmtId="0" fontId="7" fillId="2" borderId="49" xfId="48" applyFont="1" applyFill="1" applyBorder="1" applyAlignment="1">
      <alignment horizontal="center" vertical="center"/>
    </xf>
    <xf numFmtId="0" fontId="25" fillId="2" borderId="151" xfId="78" applyFont="1" applyFill="1" applyBorder="1" applyAlignment="1">
      <alignment horizontal="center" vertical="center" wrapText="1"/>
    </xf>
    <xf numFmtId="0" fontId="25" fillId="2" borderId="152" xfId="78" applyFont="1" applyFill="1" applyBorder="1" applyAlignment="1">
      <alignment horizontal="center" vertical="center" wrapText="1"/>
    </xf>
    <xf numFmtId="0" fontId="25" fillId="2" borderId="155" xfId="78" applyFont="1" applyFill="1" applyBorder="1" applyAlignment="1">
      <alignment horizontal="center" vertical="center" wrapText="1"/>
    </xf>
    <xf numFmtId="0" fontId="25" fillId="2" borderId="156" xfId="78" applyFont="1" applyFill="1" applyBorder="1" applyAlignment="1">
      <alignment horizontal="center" vertical="center" wrapText="1"/>
    </xf>
    <xf numFmtId="0" fontId="25" fillId="2" borderId="151" xfId="79" applyFont="1" applyFill="1" applyBorder="1" applyAlignment="1">
      <alignment horizontal="center" vertical="center" wrapText="1"/>
    </xf>
    <xf numFmtId="0" fontId="25" fillId="2" borderId="152" xfId="79" applyFont="1" applyFill="1" applyBorder="1" applyAlignment="1">
      <alignment horizontal="center" vertical="center" wrapText="1"/>
    </xf>
    <xf numFmtId="0" fontId="25" fillId="2" borderId="158" xfId="79" applyFont="1" applyFill="1" applyBorder="1" applyAlignment="1">
      <alignment horizontal="center" vertical="center" wrapText="1"/>
    </xf>
    <xf numFmtId="0" fontId="25" fillId="2" borderId="159" xfId="79" applyFont="1" applyFill="1" applyBorder="1" applyAlignment="1">
      <alignment horizontal="center" vertical="center" wrapText="1"/>
    </xf>
    <xf numFmtId="0" fontId="25" fillId="2" borderId="160" xfId="79" applyFont="1" applyFill="1" applyBorder="1" applyAlignment="1">
      <alignment horizontal="center" vertical="center" wrapText="1"/>
    </xf>
    <xf numFmtId="0" fontId="44" fillId="2" borderId="59" xfId="48" applyFont="1" applyFill="1" applyBorder="1" applyAlignment="1">
      <alignment horizontal="center" vertical="justify"/>
    </xf>
    <xf numFmtId="0" fontId="25" fillId="2" borderId="161" xfId="80" applyFont="1" applyFill="1" applyBorder="1" applyAlignment="1">
      <alignment horizontal="center" vertical="center" wrapText="1"/>
    </xf>
    <xf numFmtId="0" fontId="25" fillId="2" borderId="162" xfId="80" applyFont="1" applyFill="1" applyBorder="1" applyAlignment="1">
      <alignment horizontal="center" vertical="center" wrapText="1"/>
    </xf>
    <xf numFmtId="0" fontId="25" fillId="2" borderId="155" xfId="80" applyFont="1" applyFill="1" applyBorder="1" applyAlignment="1">
      <alignment horizontal="center" vertical="center" wrapText="1"/>
    </xf>
    <xf numFmtId="0" fontId="25" fillId="2" borderId="156" xfId="80" applyFont="1" applyFill="1" applyBorder="1" applyAlignment="1">
      <alignment horizontal="center" vertical="center" wrapText="1"/>
    </xf>
    <xf numFmtId="0" fontId="25" fillId="2" borderId="151" xfId="81" applyFont="1" applyFill="1" applyBorder="1" applyAlignment="1">
      <alignment horizontal="center" vertical="center" wrapText="1"/>
    </xf>
    <xf numFmtId="0" fontId="25" fillId="2" borderId="152" xfId="81" applyFont="1" applyFill="1" applyBorder="1" applyAlignment="1">
      <alignment horizontal="center" vertical="center" wrapText="1"/>
    </xf>
    <xf numFmtId="0" fontId="25" fillId="2" borderId="155" xfId="81" applyFont="1" applyFill="1" applyBorder="1" applyAlignment="1">
      <alignment horizontal="center" vertical="center" wrapText="1"/>
    </xf>
    <xf numFmtId="0" fontId="25" fillId="2" borderId="156" xfId="81" applyFont="1" applyFill="1" applyBorder="1" applyAlignment="1">
      <alignment horizontal="center" vertical="center" wrapText="1"/>
    </xf>
    <xf numFmtId="0" fontId="25" fillId="2" borderId="151" xfId="82" applyFont="1" applyFill="1" applyBorder="1" applyAlignment="1">
      <alignment horizontal="center" vertical="center" wrapText="1"/>
    </xf>
    <xf numFmtId="0" fontId="25" fillId="2" borderId="152" xfId="82" applyFont="1" applyFill="1" applyBorder="1" applyAlignment="1">
      <alignment horizontal="center" vertical="center" wrapText="1"/>
    </xf>
    <xf numFmtId="0" fontId="25" fillId="2" borderId="155" xfId="82" applyFont="1" applyFill="1" applyBorder="1" applyAlignment="1">
      <alignment horizontal="center" vertical="center" wrapText="1"/>
    </xf>
    <xf numFmtId="0" fontId="25" fillId="2" borderId="156" xfId="82" applyFont="1" applyFill="1" applyBorder="1" applyAlignment="1">
      <alignment horizontal="center" vertical="center" wrapText="1"/>
    </xf>
    <xf numFmtId="0" fontId="25" fillId="2" borderId="151" xfId="83" applyFont="1" applyFill="1" applyBorder="1" applyAlignment="1">
      <alignment horizontal="center" vertical="center" wrapText="1"/>
    </xf>
    <xf numFmtId="0" fontId="25" fillId="2" borderId="152" xfId="83" applyFont="1" applyFill="1" applyBorder="1" applyAlignment="1">
      <alignment horizontal="center" vertical="center" wrapText="1"/>
    </xf>
    <xf numFmtId="0" fontId="25" fillId="2" borderId="155" xfId="83" applyFont="1" applyFill="1" applyBorder="1" applyAlignment="1">
      <alignment horizontal="center" vertical="center" wrapText="1"/>
    </xf>
    <xf numFmtId="0" fontId="25" fillId="2" borderId="156" xfId="83" applyFont="1" applyFill="1" applyBorder="1" applyAlignment="1">
      <alignment horizontal="center" vertical="center" wrapText="1"/>
    </xf>
    <xf numFmtId="0" fontId="44" fillId="2" borderId="25" xfId="48" applyFont="1" applyFill="1" applyBorder="1" applyAlignment="1">
      <alignment horizontal="center" vertical="center"/>
    </xf>
    <xf numFmtId="0" fontId="44" fillId="2" borderId="59" xfId="48" applyFont="1" applyFill="1" applyBorder="1" applyAlignment="1">
      <alignment horizontal="center" vertical="center"/>
    </xf>
    <xf numFmtId="0" fontId="44" fillId="2" borderId="60" xfId="48" applyFont="1" applyFill="1" applyBorder="1" applyAlignment="1">
      <alignment horizontal="center" vertical="center"/>
    </xf>
    <xf numFmtId="0" fontId="11" fillId="14" borderId="38" xfId="48" applyFont="1" applyFill="1" applyBorder="1" applyAlignment="1">
      <alignment horizontal="center" vertical="center" textRotation="90"/>
    </xf>
    <xf numFmtId="0" fontId="11" fillId="14" borderId="39" xfId="48" applyFont="1" applyFill="1" applyBorder="1" applyAlignment="1">
      <alignment horizontal="center" vertical="center" textRotation="90"/>
    </xf>
    <xf numFmtId="0" fontId="147" fillId="14" borderId="39" xfId="48" applyFont="1" applyFill="1" applyBorder="1" applyAlignment="1">
      <alignment horizontal="center" vertical="center" textRotation="90"/>
    </xf>
    <xf numFmtId="0" fontId="11" fillId="14" borderId="7" xfId="48" applyFont="1" applyFill="1" applyBorder="1" applyAlignment="1">
      <alignment horizontal="center" vertical="center" textRotation="90"/>
    </xf>
    <xf numFmtId="0" fontId="11" fillId="14" borderId="29" xfId="48" applyFont="1" applyFill="1" applyBorder="1" applyAlignment="1">
      <alignment horizontal="center" vertical="center" textRotation="90"/>
    </xf>
    <xf numFmtId="0" fontId="11" fillId="14" borderId="27" xfId="48" applyFont="1" applyFill="1" applyBorder="1" applyAlignment="1">
      <alignment horizontal="center" vertical="center" textRotation="90"/>
    </xf>
    <xf numFmtId="0" fontId="147" fillId="14" borderId="29" xfId="48" applyFont="1" applyFill="1" applyBorder="1" applyAlignment="1">
      <alignment horizontal="center" vertical="center" textRotation="90"/>
    </xf>
    <xf numFmtId="0" fontId="11" fillId="14" borderId="40" xfId="48" applyFont="1" applyFill="1" applyBorder="1" applyAlignment="1">
      <alignment horizontal="center" vertical="center"/>
    </xf>
    <xf numFmtId="0" fontId="11" fillId="14" borderId="13" xfId="48" applyFont="1" applyFill="1" applyBorder="1" applyAlignment="1">
      <alignment horizontal="center" vertical="center"/>
    </xf>
    <xf numFmtId="0" fontId="11" fillId="14" borderId="42" xfId="48" applyFont="1" applyFill="1" applyBorder="1" applyAlignment="1">
      <alignment horizontal="center" vertical="center"/>
    </xf>
    <xf numFmtId="0" fontId="11" fillId="14" borderId="34" xfId="48" applyFont="1" applyFill="1" applyBorder="1" applyAlignment="1">
      <alignment horizontal="center" vertical="center"/>
    </xf>
    <xf numFmtId="0" fontId="11" fillId="14" borderId="37" xfId="48" applyFont="1" applyFill="1" applyBorder="1" applyAlignment="1">
      <alignment horizontal="center" vertical="center"/>
    </xf>
    <xf numFmtId="0" fontId="25" fillId="14" borderId="46" xfId="48" applyFont="1" applyFill="1" applyBorder="1" applyAlignment="1">
      <alignment vertical="center"/>
    </xf>
    <xf numFmtId="0" fontId="11" fillId="14" borderId="61" xfId="48" applyFont="1" applyFill="1" applyBorder="1" applyAlignment="1">
      <alignment horizontal="center" vertical="center"/>
    </xf>
    <xf numFmtId="0" fontId="11" fillId="14" borderId="31" xfId="48" applyFont="1" applyFill="1" applyBorder="1" applyAlignment="1">
      <alignment horizontal="center" vertical="center"/>
    </xf>
    <xf numFmtId="0" fontId="11" fillId="14" borderId="50" xfId="48" applyFont="1" applyFill="1" applyBorder="1" applyAlignment="1">
      <alignment horizontal="center" vertical="center"/>
    </xf>
    <xf numFmtId="0" fontId="16" fillId="14" borderId="12" xfId="48" applyFont="1" applyFill="1" applyBorder="1" applyAlignment="1">
      <alignment horizontal="right" vertical="center"/>
    </xf>
    <xf numFmtId="0" fontId="11" fillId="14" borderId="0" xfId="48" applyFont="1" applyFill="1" applyBorder="1" applyAlignment="1">
      <alignment horizontal="right" vertical="center"/>
    </xf>
    <xf numFmtId="0" fontId="11" fillId="14" borderId="0" xfId="48" applyFont="1" applyFill="1" applyBorder="1" applyAlignment="1">
      <alignment horizontal="center" vertical="center"/>
    </xf>
    <xf numFmtId="0" fontId="16" fillId="14" borderId="2" xfId="48" applyFont="1" applyFill="1" applyBorder="1" applyAlignment="1">
      <alignment horizontal="right" vertical="center"/>
    </xf>
    <xf numFmtId="0" fontId="11" fillId="14" borderId="4" xfId="48" applyFont="1" applyFill="1" applyBorder="1" applyAlignment="1">
      <alignment horizontal="center" vertical="center"/>
    </xf>
    <xf numFmtId="0" fontId="11" fillId="14" borderId="35" xfId="48" applyFont="1" applyFill="1" applyBorder="1" applyAlignment="1">
      <alignment horizontal="center" vertical="center"/>
    </xf>
    <xf numFmtId="0" fontId="10" fillId="14" borderId="2" xfId="48" applyFont="1" applyFill="1" applyBorder="1" applyAlignment="1">
      <alignment horizontal="right" vertical="center"/>
    </xf>
    <xf numFmtId="0" fontId="16" fillId="14" borderId="46" xfId="48" applyFont="1" applyFill="1" applyBorder="1" applyAlignment="1">
      <alignment horizontal="right" vertical="center"/>
    </xf>
    <xf numFmtId="0" fontId="11" fillId="14" borderId="43" xfId="48" applyFont="1" applyFill="1" applyBorder="1" applyAlignment="1">
      <alignment horizontal="center" vertical="center" textRotation="90"/>
    </xf>
    <xf numFmtId="0" fontId="11" fillId="14" borderId="26" xfId="48" applyFont="1" applyFill="1" applyBorder="1" applyAlignment="1">
      <alignment horizontal="center" vertical="center" textRotation="90"/>
    </xf>
    <xf numFmtId="0" fontId="11" fillId="14" borderId="36" xfId="48" applyFont="1" applyFill="1" applyBorder="1" applyAlignment="1">
      <alignment horizontal="center" vertical="center" textRotation="90"/>
    </xf>
    <xf numFmtId="0" fontId="147" fillId="14" borderId="37" xfId="48" applyFont="1" applyFill="1" applyBorder="1" applyAlignment="1">
      <alignment horizontal="center" vertical="center" textRotation="90"/>
    </xf>
    <xf numFmtId="0" fontId="11" fillId="14" borderId="37" xfId="48" applyFont="1" applyFill="1" applyBorder="1" applyAlignment="1">
      <alignment horizontal="center" vertical="center" textRotation="90"/>
    </xf>
    <xf numFmtId="0" fontId="11" fillId="14" borderId="59" xfId="48" applyFont="1" applyFill="1" applyBorder="1" applyAlignment="1">
      <alignment horizontal="center" vertical="center" textRotation="90"/>
    </xf>
    <xf numFmtId="0" fontId="23" fillId="14" borderId="33" xfId="103" applyFont="1" applyFill="1" applyBorder="1" applyAlignment="1">
      <alignment horizontal="center" vertical="center" textRotation="90"/>
    </xf>
    <xf numFmtId="0" fontId="23" fillId="14" borderId="34" xfId="103" applyFont="1" applyFill="1" applyBorder="1" applyAlignment="1">
      <alignment horizontal="center" vertical="center" textRotation="90"/>
    </xf>
    <xf numFmtId="0" fontId="23" fillId="14" borderId="32" xfId="103" applyFont="1" applyFill="1" applyBorder="1" applyAlignment="1">
      <alignment horizontal="center" vertical="center" textRotation="90"/>
    </xf>
    <xf numFmtId="0" fontId="23" fillId="14" borderId="31" xfId="103" applyFont="1" applyFill="1" applyBorder="1" applyAlignment="1">
      <alignment horizontal="center" vertical="center" textRotation="90"/>
    </xf>
    <xf numFmtId="0" fontId="10" fillId="14" borderId="74" xfId="103" applyFont="1" applyFill="1" applyBorder="1" applyAlignment="1">
      <alignment horizontal="center" vertical="center" wrapText="1"/>
    </xf>
    <xf numFmtId="0" fontId="10" fillId="14" borderId="20" xfId="103" applyFont="1" applyFill="1" applyBorder="1" applyAlignment="1">
      <alignment horizontal="center" vertical="center" wrapText="1"/>
    </xf>
    <xf numFmtId="0" fontId="10" fillId="14" borderId="23" xfId="103" applyFont="1" applyFill="1" applyBorder="1" applyAlignment="1">
      <alignment horizontal="center" vertical="center" wrapText="1"/>
    </xf>
    <xf numFmtId="0" fontId="10" fillId="14" borderId="68" xfId="103" applyFont="1" applyFill="1" applyBorder="1" applyAlignment="1">
      <alignment horizontal="center" vertical="center"/>
    </xf>
    <xf numFmtId="0" fontId="69" fillId="14" borderId="16" xfId="103" applyFont="1" applyFill="1" applyBorder="1" applyAlignment="1">
      <alignment horizontal="center" vertical="center" readingOrder="2"/>
    </xf>
    <xf numFmtId="0" fontId="148" fillId="14" borderId="16" xfId="103" applyFont="1" applyFill="1" applyBorder="1" applyAlignment="1">
      <alignment horizontal="center" vertical="center" readingOrder="2"/>
    </xf>
    <xf numFmtId="0" fontId="98" fillId="14" borderId="16" xfId="103" applyFont="1" applyFill="1" applyBorder="1" applyAlignment="1">
      <alignment horizontal="center" vertical="center" readingOrder="2"/>
    </xf>
    <xf numFmtId="0" fontId="23" fillId="14" borderId="16" xfId="1" applyFont="1" applyFill="1" applyBorder="1" applyAlignment="1">
      <alignment horizontal="center" vertical="center"/>
    </xf>
    <xf numFmtId="0" fontId="69" fillId="0" borderId="15" xfId="2" applyFont="1" applyFill="1" applyBorder="1" applyAlignment="1">
      <alignment horizontal="center" vertical="center" wrapText="1"/>
    </xf>
    <xf numFmtId="0" fontId="69" fillId="0" borderId="16" xfId="2" applyFont="1" applyFill="1" applyBorder="1" applyAlignment="1">
      <alignment horizontal="center" vertical="center" textRotation="90" wrapText="1"/>
    </xf>
    <xf numFmtId="0" fontId="69" fillId="0" borderId="18" xfId="2" applyFont="1" applyFill="1" applyBorder="1" applyAlignment="1">
      <alignment horizontal="center" vertical="center" wrapText="1"/>
    </xf>
    <xf numFmtId="190" fontId="59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3" fontId="59" fillId="0" borderId="16" xfId="2" applyNumberFormat="1" applyFont="1" applyFill="1" applyBorder="1" applyAlignment="1">
      <alignment horizontal="center" vertical="center"/>
    </xf>
    <xf numFmtId="0" fontId="69" fillId="0" borderId="53" xfId="2" applyFont="1" applyFill="1" applyBorder="1" applyAlignment="1">
      <alignment horizontal="center" vertical="center" wrapText="1"/>
    </xf>
    <xf numFmtId="3" fontId="59" fillId="0" borderId="18" xfId="2" applyNumberFormat="1" applyFont="1" applyFill="1" applyBorder="1" applyAlignment="1">
      <alignment horizontal="center" vertical="center"/>
    </xf>
    <xf numFmtId="3" fontId="59" fillId="0" borderId="29" xfId="2" applyNumberFormat="1" applyFont="1" applyFill="1" applyBorder="1" applyAlignment="1">
      <alignment horizontal="center" vertical="center"/>
    </xf>
    <xf numFmtId="3" fontId="59" fillId="0" borderId="28" xfId="2" applyNumberFormat="1" applyFont="1" applyFill="1" applyBorder="1" applyAlignment="1">
      <alignment horizontal="center" vertical="center"/>
    </xf>
    <xf numFmtId="0" fontId="10" fillId="0" borderId="14" xfId="1" applyFont="1" applyBorder="1" applyAlignment="1"/>
    <xf numFmtId="0" fontId="10" fillId="0" borderId="19" xfId="1" applyFont="1" applyBorder="1" applyAlignment="1"/>
    <xf numFmtId="1" fontId="120" fillId="0" borderId="30" xfId="104" applyNumberFormat="1" applyFont="1" applyBorder="1" applyAlignment="1">
      <alignment vertical="center"/>
    </xf>
    <xf numFmtId="0" fontId="69" fillId="0" borderId="53" xfId="5" applyFont="1" applyFill="1" applyBorder="1" applyAlignment="1">
      <alignment horizontal="center" vertical="center"/>
    </xf>
    <xf numFmtId="0" fontId="10" fillId="0" borderId="28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10" fillId="0" borderId="70" xfId="5" applyFont="1" applyFill="1" applyBorder="1" applyAlignment="1">
      <alignment horizontal="center" vertical="center"/>
    </xf>
    <xf numFmtId="0" fontId="10" fillId="0" borderId="66" xfId="5" applyFont="1" applyFill="1" applyBorder="1" applyAlignment="1">
      <alignment horizontal="center" vertical="center"/>
    </xf>
    <xf numFmtId="0" fontId="10" fillId="0" borderId="23" xfId="48" applyFont="1" applyFill="1" applyBorder="1" applyAlignment="1">
      <alignment horizontal="center" vertical="center"/>
    </xf>
    <xf numFmtId="0" fontId="70" fillId="0" borderId="16" xfId="5" applyFont="1" applyFill="1" applyBorder="1" applyAlignment="1">
      <alignment horizontal="center" vertical="center" wrapText="1" readingOrder="2"/>
    </xf>
    <xf numFmtId="0" fontId="47" fillId="0" borderId="16" xfId="5" applyFont="1" applyFill="1" applyBorder="1" applyAlignment="1">
      <alignment horizontal="center" vertical="center" wrapText="1"/>
    </xf>
    <xf numFmtId="0" fontId="70" fillId="0" borderId="33" xfId="5" applyFont="1" applyFill="1" applyBorder="1" applyAlignment="1">
      <alignment horizontal="center" vertical="center" wrapText="1" readingOrder="2"/>
    </xf>
    <xf numFmtId="0" fontId="12" fillId="0" borderId="173" xfId="5" applyFont="1" applyBorder="1" applyAlignment="1">
      <alignment horizontal="center" vertical="center"/>
    </xf>
    <xf numFmtId="0" fontId="10" fillId="0" borderId="19" xfId="5" applyFont="1" applyFill="1" applyBorder="1" applyAlignment="1">
      <alignment horizontal="center" vertical="center"/>
    </xf>
    <xf numFmtId="0" fontId="10" fillId="0" borderId="27" xfId="5" applyFont="1" applyFill="1" applyBorder="1" applyAlignment="1">
      <alignment horizontal="center" vertical="center"/>
    </xf>
    <xf numFmtId="0" fontId="59" fillId="2" borderId="15" xfId="43" applyFont="1" applyFill="1" applyBorder="1" applyAlignment="1">
      <alignment horizontal="center" vertical="center"/>
    </xf>
    <xf numFmtId="0" fontId="59" fillId="2" borderId="48" xfId="43" applyFont="1" applyFill="1" applyBorder="1" applyAlignment="1">
      <alignment horizontal="center" vertical="center"/>
    </xf>
    <xf numFmtId="0" fontId="10" fillId="0" borderId="59" xfId="5" applyFont="1" applyFill="1" applyBorder="1" applyAlignment="1">
      <alignment horizontal="center" vertical="center"/>
    </xf>
    <xf numFmtId="0" fontId="10" fillId="0" borderId="68" xfId="48" applyFont="1" applyFill="1" applyBorder="1" applyAlignment="1">
      <alignment horizontal="center" vertical="center"/>
    </xf>
    <xf numFmtId="0" fontId="10" fillId="0" borderId="68" xfId="5" applyFont="1" applyFill="1" applyBorder="1" applyAlignment="1">
      <alignment horizontal="center" vertical="center"/>
    </xf>
    <xf numFmtId="0" fontId="7" fillId="0" borderId="0" xfId="106" applyFont="1" applyFill="1" applyBorder="1" applyAlignment="1">
      <alignment horizontal="right" vertical="center"/>
    </xf>
    <xf numFmtId="0" fontId="11" fillId="0" borderId="3" xfId="1" applyFont="1" applyFill="1" applyBorder="1" applyAlignment="1">
      <alignment vertical="center" readingOrder="2"/>
    </xf>
    <xf numFmtId="1" fontId="12" fillId="2" borderId="20" xfId="2" applyNumberFormat="1" applyFont="1" applyFill="1" applyBorder="1" applyAlignment="1">
      <alignment horizontal="center" vertical="center"/>
    </xf>
    <xf numFmtId="1" fontId="12" fillId="2" borderId="42" xfId="1" applyNumberFormat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12" fillId="0" borderId="14" xfId="2" applyNumberFormat="1" applyFont="1" applyFill="1" applyBorder="1" applyAlignment="1">
      <alignment horizontal="center" vertical="center"/>
    </xf>
    <xf numFmtId="1" fontId="59" fillId="2" borderId="19" xfId="2" applyNumberFormat="1" applyFont="1" applyFill="1" applyBorder="1" applyAlignment="1">
      <alignment horizontal="center" vertical="center"/>
    </xf>
    <xf numFmtId="1" fontId="12" fillId="2" borderId="75" xfId="1" applyNumberFormat="1" applyFont="1" applyFill="1" applyBorder="1" applyAlignment="1">
      <alignment horizontal="center" vertical="center"/>
    </xf>
    <xf numFmtId="1" fontId="12" fillId="0" borderId="14" xfId="1" applyNumberFormat="1" applyFont="1" applyFill="1" applyBorder="1" applyAlignment="1">
      <alignment horizontal="center" vertical="center"/>
    </xf>
    <xf numFmtId="1" fontId="12" fillId="0" borderId="30" xfId="2" applyNumberFormat="1" applyFont="1" applyFill="1" applyBorder="1" applyAlignment="1">
      <alignment horizontal="center" vertical="center"/>
    </xf>
    <xf numFmtId="1" fontId="12" fillId="0" borderId="44" xfId="1" applyNumberFormat="1" applyFont="1" applyFill="1" applyBorder="1" applyAlignment="1">
      <alignment horizontal="center" vertical="center"/>
    </xf>
    <xf numFmtId="1" fontId="12" fillId="0" borderId="74" xfId="2" applyNumberFormat="1" applyFont="1" applyFill="1" applyBorder="1" applyAlignment="1">
      <alignment horizontal="center" vertical="center"/>
    </xf>
    <xf numFmtId="1" fontId="12" fillId="0" borderId="20" xfId="2" applyNumberFormat="1" applyFont="1" applyFill="1" applyBorder="1" applyAlignment="1">
      <alignment horizontal="center" vertical="center"/>
    </xf>
    <xf numFmtId="0" fontId="12" fillId="0" borderId="76" xfId="2" applyNumberFormat="1" applyFont="1" applyFill="1" applyBorder="1" applyAlignment="1">
      <alignment horizontal="center" vertical="center"/>
    </xf>
    <xf numFmtId="1" fontId="12" fillId="0" borderId="21" xfId="2" applyNumberFormat="1" applyFont="1" applyFill="1" applyBorder="1" applyAlignment="1">
      <alignment horizontal="center" vertical="center"/>
    </xf>
    <xf numFmtId="1" fontId="12" fillId="2" borderId="21" xfId="2" applyNumberFormat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1" fontId="12" fillId="2" borderId="59" xfId="1" applyNumberFormat="1" applyFont="1" applyFill="1" applyBorder="1" applyAlignment="1">
      <alignment horizontal="center" vertical="center"/>
    </xf>
    <xf numFmtId="1" fontId="12" fillId="2" borderId="46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23" xfId="1" applyNumberFormat="1" applyFont="1" applyFill="1" applyBorder="1" applyAlignment="1">
      <alignment horizontal="center" vertical="center"/>
    </xf>
    <xf numFmtId="1" fontId="12" fillId="0" borderId="74" xfId="1" applyNumberFormat="1" applyFont="1" applyFill="1" applyBorder="1" applyAlignment="1">
      <alignment horizontal="center" vertical="center"/>
    </xf>
    <xf numFmtId="1" fontId="12" fillId="0" borderId="25" xfId="1" applyNumberFormat="1" applyFont="1" applyFill="1" applyBorder="1" applyAlignment="1">
      <alignment horizontal="center" vertical="center"/>
    </xf>
    <xf numFmtId="1" fontId="12" fillId="0" borderId="66" xfId="2" applyNumberFormat="1" applyFont="1" applyFill="1" applyBorder="1" applyAlignment="1">
      <alignment horizontal="center" vertical="center"/>
    </xf>
    <xf numFmtId="1" fontId="12" fillId="0" borderId="68" xfId="1" applyNumberFormat="1" applyFont="1" applyFill="1" applyBorder="1" applyAlignment="1">
      <alignment horizontal="center" vertical="center"/>
    </xf>
    <xf numFmtId="1" fontId="12" fillId="2" borderId="20" xfId="1" applyNumberFormat="1" applyFont="1" applyFill="1" applyBorder="1" applyAlignment="1">
      <alignment horizontal="center" vertical="center"/>
    </xf>
    <xf numFmtId="1" fontId="12" fillId="0" borderId="66" xfId="1" applyNumberFormat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0" borderId="70" xfId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/>
    </xf>
    <xf numFmtId="0" fontId="11" fillId="0" borderId="71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center" vertical="center"/>
    </xf>
    <xf numFmtId="0" fontId="9" fillId="0" borderId="58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/>
    </xf>
    <xf numFmtId="0" fontId="9" fillId="0" borderId="69" xfId="1" applyFont="1" applyFill="1" applyBorder="1" applyAlignment="1">
      <alignment horizontal="center" vertical="center"/>
    </xf>
    <xf numFmtId="0" fontId="17" fillId="19" borderId="68" xfId="1" applyFont="1" applyFill="1" applyBorder="1" applyAlignment="1">
      <alignment horizontal="center" vertical="center"/>
    </xf>
    <xf numFmtId="0" fontId="16" fillId="2" borderId="20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6" fillId="0" borderId="47" xfId="1" applyFont="1" applyFill="1" applyBorder="1" applyAlignment="1">
      <alignment horizontal="center" vertical="center"/>
    </xf>
    <xf numFmtId="1" fontId="47" fillId="0" borderId="11" xfId="1" applyNumberFormat="1" applyFont="1" applyFill="1" applyBorder="1" applyAlignment="1">
      <alignment horizontal="center" vertical="center"/>
    </xf>
    <xf numFmtId="1" fontId="47" fillId="0" borderId="18" xfId="1" applyNumberFormat="1" applyFont="1" applyFill="1" applyBorder="1" applyAlignment="1">
      <alignment horizontal="center" vertical="center"/>
    </xf>
    <xf numFmtId="3" fontId="70" fillId="0" borderId="18" xfId="1" applyNumberFormat="1" applyFont="1" applyFill="1" applyBorder="1" applyAlignment="1">
      <alignment horizontal="center" vertical="center"/>
    </xf>
    <xf numFmtId="3" fontId="70" fillId="0" borderId="28" xfId="1" applyNumberFormat="1" applyFont="1" applyFill="1" applyBorder="1" applyAlignment="1">
      <alignment horizontal="center" vertical="center"/>
    </xf>
    <xf numFmtId="3" fontId="70" fillId="0" borderId="50" xfId="1" applyNumberFormat="1" applyFont="1" applyFill="1" applyBorder="1" applyAlignment="1">
      <alignment horizontal="center" vertical="center"/>
    </xf>
    <xf numFmtId="3" fontId="47" fillId="0" borderId="18" xfId="1" applyNumberFormat="1" applyFont="1" applyFill="1" applyBorder="1" applyAlignment="1">
      <alignment horizontal="center" vertical="center"/>
    </xf>
    <xf numFmtId="3" fontId="47" fillId="0" borderId="41" xfId="1" applyNumberFormat="1" applyFont="1" applyFill="1" applyBorder="1" applyAlignment="1">
      <alignment horizontal="center" vertical="center" readingOrder="2"/>
    </xf>
    <xf numFmtId="3" fontId="47" fillId="0" borderId="5" xfId="1" applyNumberFormat="1" applyFont="1" applyFill="1" applyBorder="1" applyAlignment="1">
      <alignment horizontal="center" vertical="center" readingOrder="2"/>
    </xf>
    <xf numFmtId="3" fontId="47" fillId="0" borderId="7" xfId="1" applyNumberFormat="1" applyFont="1" applyFill="1" applyBorder="1" applyAlignment="1">
      <alignment horizontal="center" vertical="center"/>
    </xf>
    <xf numFmtId="1" fontId="18" fillId="2" borderId="47" xfId="2" applyNumberFormat="1" applyFont="1" applyFill="1" applyBorder="1" applyAlignment="1">
      <alignment horizontal="right" vertical="center" indent="1"/>
    </xf>
    <xf numFmtId="1" fontId="18" fillId="2" borderId="19" xfId="1" applyNumberFormat="1" applyFont="1" applyFill="1" applyBorder="1" applyAlignment="1">
      <alignment horizontal="right" vertical="center" indent="1"/>
    </xf>
    <xf numFmtId="1" fontId="12" fillId="2" borderId="47" xfId="5" applyNumberFormat="1" applyFont="1" applyFill="1" applyBorder="1" applyAlignment="1">
      <alignment horizontal="right" vertical="center" indent="1"/>
    </xf>
    <xf numFmtId="1" fontId="12" fillId="2" borderId="20" xfId="5" applyNumberFormat="1" applyFont="1" applyFill="1" applyBorder="1" applyAlignment="1">
      <alignment horizontal="right" vertical="center" indent="1"/>
    </xf>
    <xf numFmtId="1" fontId="18" fillId="2" borderId="56" xfId="1" applyNumberFormat="1" applyFont="1" applyFill="1" applyBorder="1" applyAlignment="1">
      <alignment horizontal="right" vertical="center" indent="1"/>
    </xf>
    <xf numFmtId="1" fontId="18" fillId="2" borderId="47" xfId="5" applyNumberFormat="1" applyFont="1" applyFill="1" applyBorder="1" applyAlignment="1">
      <alignment horizontal="right" vertical="center" indent="1"/>
    </xf>
    <xf numFmtId="1" fontId="18" fillId="2" borderId="47" xfId="1" applyNumberFormat="1" applyFont="1" applyFill="1" applyBorder="1" applyAlignment="1">
      <alignment horizontal="right" vertical="center" indent="1"/>
    </xf>
    <xf numFmtId="1" fontId="18" fillId="2" borderId="20" xfId="1" applyNumberFormat="1" applyFont="1" applyFill="1" applyBorder="1" applyAlignment="1">
      <alignment horizontal="right" vertical="center" indent="1"/>
    </xf>
    <xf numFmtId="0" fontId="18" fillId="2" borderId="20" xfId="1" applyNumberFormat="1" applyFont="1" applyFill="1" applyBorder="1" applyAlignment="1">
      <alignment horizontal="right" vertical="center" indent="1"/>
    </xf>
    <xf numFmtId="3" fontId="18" fillId="0" borderId="19" xfId="1" applyNumberFormat="1" applyFont="1" applyFill="1" applyBorder="1" applyAlignment="1">
      <alignment horizontal="right" vertical="center" indent="1"/>
    </xf>
    <xf numFmtId="1" fontId="18" fillId="2" borderId="46" xfId="6" applyNumberFormat="1" applyFont="1" applyFill="1" applyBorder="1" applyAlignment="1">
      <alignment horizontal="right" vertical="center" indent="1"/>
    </xf>
    <xf numFmtId="1" fontId="18" fillId="2" borderId="20" xfId="6" applyNumberFormat="1" applyFont="1" applyFill="1" applyBorder="1" applyAlignment="1">
      <alignment horizontal="right" vertical="center" indent="1"/>
    </xf>
    <xf numFmtId="1" fontId="18" fillId="0" borderId="20" xfId="1" applyNumberFormat="1" applyFont="1" applyFill="1" applyBorder="1" applyAlignment="1">
      <alignment horizontal="right" vertical="center" indent="1"/>
    </xf>
    <xf numFmtId="1" fontId="18" fillId="0" borderId="19" xfId="1" applyNumberFormat="1" applyFont="1" applyFill="1" applyBorder="1" applyAlignment="1">
      <alignment horizontal="right" vertical="center" indent="1"/>
    </xf>
    <xf numFmtId="3" fontId="57" fillId="0" borderId="20" xfId="1" applyNumberFormat="1" applyFont="1" applyFill="1" applyBorder="1" applyAlignment="1">
      <alignment horizontal="right" vertical="center" indent="1"/>
    </xf>
    <xf numFmtId="3" fontId="57" fillId="0" borderId="19" xfId="1" applyNumberFormat="1" applyFont="1" applyFill="1" applyBorder="1" applyAlignment="1">
      <alignment horizontal="right" vertical="center" indent="1"/>
    </xf>
    <xf numFmtId="3" fontId="57" fillId="0" borderId="23" xfId="1" applyNumberFormat="1" applyFont="1" applyFill="1" applyBorder="1" applyAlignment="1">
      <alignment horizontal="right" vertical="center" indent="1"/>
    </xf>
    <xf numFmtId="3" fontId="57" fillId="0" borderId="66" xfId="1" applyNumberFormat="1" applyFont="1" applyFill="1" applyBorder="1" applyAlignment="1">
      <alignment horizontal="right" vertical="center" indent="1"/>
    </xf>
    <xf numFmtId="3" fontId="57" fillId="0" borderId="30" xfId="1" applyNumberFormat="1" applyFont="1" applyFill="1" applyBorder="1" applyAlignment="1">
      <alignment horizontal="right" vertical="center" indent="1"/>
    </xf>
    <xf numFmtId="3" fontId="18" fillId="0" borderId="47" xfId="1" applyNumberFormat="1" applyFont="1" applyFill="1" applyBorder="1" applyAlignment="1">
      <alignment horizontal="right" vertical="center" indent="1"/>
    </xf>
    <xf numFmtId="3" fontId="18" fillId="0" borderId="14" xfId="1" applyNumberFormat="1" applyFont="1" applyFill="1" applyBorder="1" applyAlignment="1">
      <alignment horizontal="right" vertical="center" indent="1"/>
    </xf>
    <xf numFmtId="3" fontId="18" fillId="0" borderId="20" xfId="1" applyNumberFormat="1" applyFont="1" applyFill="1" applyBorder="1" applyAlignment="1">
      <alignment horizontal="right" vertical="center" indent="1"/>
    </xf>
    <xf numFmtId="3" fontId="18" fillId="0" borderId="56" xfId="1" applyNumberFormat="1" applyFont="1" applyFill="1" applyBorder="1" applyAlignment="1">
      <alignment horizontal="right" vertical="center" indent="1"/>
    </xf>
    <xf numFmtId="3" fontId="18" fillId="0" borderId="30" xfId="1" applyNumberFormat="1" applyFont="1" applyFill="1" applyBorder="1" applyAlignment="1">
      <alignment horizontal="right" vertical="center" indent="1"/>
    </xf>
    <xf numFmtId="3" fontId="18" fillId="0" borderId="68" xfId="1" applyNumberFormat="1" applyFont="1" applyFill="1" applyBorder="1" applyAlignment="1">
      <alignment horizontal="right" vertical="center" indent="1"/>
    </xf>
    <xf numFmtId="3" fontId="18" fillId="0" borderId="59" xfId="1" applyNumberFormat="1" applyFont="1" applyFill="1" applyBorder="1" applyAlignment="1">
      <alignment horizontal="right" vertical="center" indent="1"/>
    </xf>
    <xf numFmtId="1" fontId="70" fillId="0" borderId="18" xfId="1" applyNumberFormat="1" applyFont="1" applyFill="1" applyBorder="1" applyAlignment="1">
      <alignment horizontal="center" vertical="center"/>
    </xf>
    <xf numFmtId="0" fontId="76" fillId="0" borderId="8" xfId="2" applyNumberFormat="1" applyFont="1" applyFill="1" applyBorder="1" applyAlignment="1">
      <alignment horizontal="center" vertical="center" readingOrder="2"/>
    </xf>
    <xf numFmtId="0" fontId="76" fillId="0" borderId="63" xfId="2" applyNumberFormat="1" applyFont="1" applyFill="1" applyBorder="1" applyAlignment="1">
      <alignment horizontal="center" vertical="center"/>
    </xf>
    <xf numFmtId="0" fontId="76" fillId="0" borderId="9" xfId="2" applyNumberFormat="1" applyFont="1" applyFill="1" applyBorder="1" applyAlignment="1">
      <alignment horizontal="center" vertical="center"/>
    </xf>
    <xf numFmtId="0" fontId="76" fillId="0" borderId="10" xfId="2" applyNumberFormat="1" applyFont="1" applyFill="1" applyBorder="1" applyAlignment="1">
      <alignment horizontal="center" vertical="center" wrapText="1"/>
    </xf>
    <xf numFmtId="1" fontId="76" fillId="2" borderId="55" xfId="1" applyNumberFormat="1" applyFont="1" applyFill="1" applyBorder="1" applyAlignment="1">
      <alignment horizontal="center" vertical="center" readingOrder="2"/>
    </xf>
    <xf numFmtId="1" fontId="76" fillId="2" borderId="22" xfId="1" applyNumberFormat="1" applyFont="1" applyFill="1" applyBorder="1" applyAlignment="1">
      <alignment horizontal="center" vertical="justify" readingOrder="2"/>
    </xf>
    <xf numFmtId="1" fontId="76" fillId="0" borderId="15" xfId="9" applyNumberFormat="1" applyFont="1" applyFill="1" applyBorder="1" applyAlignment="1">
      <alignment horizontal="center" vertical="center"/>
    </xf>
    <xf numFmtId="1" fontId="76" fillId="0" borderId="16" xfId="9" applyNumberFormat="1" applyFont="1" applyFill="1" applyBorder="1" applyAlignment="1">
      <alignment horizontal="center" vertical="center"/>
    </xf>
    <xf numFmtId="1" fontId="76" fillId="2" borderId="16" xfId="9" applyNumberFormat="1" applyFont="1" applyFill="1" applyBorder="1" applyAlignment="1">
      <alignment horizontal="center" vertical="center"/>
    </xf>
    <xf numFmtId="1" fontId="76" fillId="0" borderId="0" xfId="9" applyNumberFormat="1" applyFont="1" applyFill="1" applyBorder="1" applyAlignment="1">
      <alignment horizontal="center" vertical="center"/>
    </xf>
    <xf numFmtId="1" fontId="77" fillId="0" borderId="22" xfId="1" applyNumberFormat="1" applyFont="1" applyFill="1" applyBorder="1" applyAlignment="1">
      <alignment horizontal="center" vertical="center" readingOrder="2"/>
    </xf>
    <xf numFmtId="3" fontId="77" fillId="0" borderId="22" xfId="1" applyNumberFormat="1" applyFont="1" applyFill="1" applyBorder="1" applyAlignment="1">
      <alignment horizontal="center" vertical="center" readingOrder="2"/>
    </xf>
    <xf numFmtId="1" fontId="77" fillId="2" borderId="55" xfId="1" applyNumberFormat="1" applyFont="1" applyFill="1" applyBorder="1" applyAlignment="1">
      <alignment horizontal="center" vertical="center" readingOrder="2"/>
    </xf>
    <xf numFmtId="3" fontId="77" fillId="0" borderId="64" xfId="1" applyNumberFormat="1" applyFont="1" applyFill="1" applyBorder="1" applyAlignment="1">
      <alignment horizontal="center" vertical="center" readingOrder="2"/>
    </xf>
    <xf numFmtId="3" fontId="77" fillId="0" borderId="29" xfId="1" applyNumberFormat="1" applyFont="1" applyFill="1" applyBorder="1" applyAlignment="1">
      <alignment horizontal="center" vertical="center" readingOrder="2"/>
    </xf>
    <xf numFmtId="3" fontId="77" fillId="0" borderId="27" xfId="1" applyNumberFormat="1" applyFont="1" applyFill="1" applyBorder="1" applyAlignment="1">
      <alignment horizontal="center" vertical="center" readingOrder="2"/>
    </xf>
    <xf numFmtId="3" fontId="77" fillId="0" borderId="29" xfId="1" applyNumberFormat="1" applyFont="1" applyFill="1" applyBorder="1" applyAlignment="1">
      <alignment horizontal="center" vertical="center"/>
    </xf>
    <xf numFmtId="3" fontId="77" fillId="0" borderId="47" xfId="1" applyNumberFormat="1" applyFont="1" applyFill="1" applyBorder="1" applyAlignment="1">
      <alignment horizontal="center" vertical="center" readingOrder="2"/>
    </xf>
    <xf numFmtId="3" fontId="77" fillId="0" borderId="12" xfId="1" applyNumberFormat="1" applyFont="1" applyFill="1" applyBorder="1" applyAlignment="1">
      <alignment horizontal="center" vertical="center" readingOrder="2"/>
    </xf>
    <xf numFmtId="3" fontId="77" fillId="0" borderId="55" xfId="1" applyNumberFormat="1" applyFont="1" applyFill="1" applyBorder="1" applyAlignment="1">
      <alignment horizontal="center" vertical="center" readingOrder="2"/>
    </xf>
    <xf numFmtId="3" fontId="77" fillId="0" borderId="65" xfId="1" applyNumberFormat="1" applyFont="1" applyFill="1" applyBorder="1" applyAlignment="1">
      <alignment horizontal="center" vertical="center" readingOrder="2"/>
    </xf>
    <xf numFmtId="3" fontId="77" fillId="0" borderId="9" xfId="1" applyNumberFormat="1" applyFont="1" applyFill="1" applyBorder="1" applyAlignment="1">
      <alignment horizontal="center" vertical="center" readingOrder="2"/>
    </xf>
    <xf numFmtId="3" fontId="76" fillId="0" borderId="20" xfId="1" applyNumberFormat="1" applyFont="1" applyFill="1" applyBorder="1" applyAlignment="1">
      <alignment horizontal="center" vertical="center" readingOrder="2"/>
    </xf>
    <xf numFmtId="3" fontId="76" fillId="0" borderId="16" xfId="1" applyNumberFormat="1" applyFont="1" applyFill="1" applyBorder="1" applyAlignment="1">
      <alignment horizontal="center" vertical="center" readingOrder="2"/>
    </xf>
    <xf numFmtId="3" fontId="76" fillId="0" borderId="17" xfId="1" applyNumberFormat="1" applyFont="1" applyFill="1" applyBorder="1" applyAlignment="1">
      <alignment horizontal="center" vertical="center" readingOrder="2"/>
    </xf>
    <xf numFmtId="3" fontId="76" fillId="0" borderId="21" xfId="1" applyNumberFormat="1" applyFont="1" applyFill="1" applyBorder="1" applyAlignment="1">
      <alignment horizontal="center" vertical="center" readingOrder="2"/>
    </xf>
    <xf numFmtId="3" fontId="210" fillId="0" borderId="16" xfId="1" applyNumberFormat="1" applyFont="1" applyFill="1" applyBorder="1" applyAlignment="1">
      <alignment horizontal="center" vertical="center" readingOrder="2"/>
    </xf>
    <xf numFmtId="3" fontId="76" fillId="0" borderId="66" xfId="1" applyNumberFormat="1" applyFont="1" applyFill="1" applyBorder="1" applyAlignment="1">
      <alignment horizontal="center" vertical="center" readingOrder="2"/>
    </xf>
    <xf numFmtId="3" fontId="76" fillId="0" borderId="27" xfId="1" applyNumberFormat="1" applyFont="1" applyFill="1" applyBorder="1" applyAlignment="1">
      <alignment horizontal="center" vertical="center" readingOrder="2"/>
    </xf>
    <xf numFmtId="3" fontId="76" fillId="0" borderId="29" xfId="1" applyNumberFormat="1" applyFont="1" applyFill="1" applyBorder="1" applyAlignment="1">
      <alignment horizontal="center" vertical="center" readingOrder="2"/>
    </xf>
    <xf numFmtId="3" fontId="76" fillId="0" borderId="67" xfId="1" applyNumberFormat="1" applyFont="1" applyFill="1" applyBorder="1" applyAlignment="1">
      <alignment horizontal="center" vertical="center" readingOrder="2"/>
    </xf>
    <xf numFmtId="3" fontId="76" fillId="0" borderId="64" xfId="1" applyNumberFormat="1" applyFont="1" applyFill="1" applyBorder="1" applyAlignment="1">
      <alignment horizontal="center" vertical="center" readingOrder="2"/>
    </xf>
    <xf numFmtId="3" fontId="210" fillId="0" borderId="65" xfId="1" applyNumberFormat="1" applyFont="1" applyFill="1" applyBorder="1" applyAlignment="1">
      <alignment horizontal="center" vertical="center" readingOrder="2"/>
    </xf>
    <xf numFmtId="1" fontId="76" fillId="2" borderId="12" xfId="1" applyNumberFormat="1" applyFont="1" applyFill="1" applyBorder="1" applyAlignment="1">
      <alignment horizontal="center" vertical="center" readingOrder="2"/>
    </xf>
    <xf numFmtId="1" fontId="77" fillId="0" borderId="16" xfId="1" applyNumberFormat="1" applyFont="1" applyFill="1" applyBorder="1" applyAlignment="1">
      <alignment horizontal="center" vertical="center" readingOrder="2"/>
    </xf>
    <xf numFmtId="3" fontId="77" fillId="0" borderId="16" xfId="1" applyNumberFormat="1" applyFont="1" applyFill="1" applyBorder="1" applyAlignment="1">
      <alignment horizontal="center" vertical="center" readingOrder="2"/>
    </xf>
    <xf numFmtId="3" fontId="25" fillId="0" borderId="8" xfId="5" applyNumberFormat="1" applyFont="1" applyFill="1" applyBorder="1" applyAlignment="1">
      <alignment horizontal="center" vertical="center"/>
    </xf>
    <xf numFmtId="3" fontId="25" fillId="0" borderId="48" xfId="5" applyNumberFormat="1" applyFont="1" applyFill="1" applyBorder="1" applyAlignment="1">
      <alignment horizontal="center" vertical="center"/>
    </xf>
    <xf numFmtId="3" fontId="57" fillId="0" borderId="8" xfId="11" applyNumberFormat="1" applyFont="1" applyFill="1" applyBorder="1" applyAlignment="1">
      <alignment horizontal="right" vertical="center" indent="1"/>
    </xf>
    <xf numFmtId="3" fontId="57" fillId="0" borderId="9" xfId="11" applyNumberFormat="1" applyFont="1" applyFill="1" applyBorder="1" applyAlignment="1">
      <alignment horizontal="right" vertical="center" indent="1"/>
    </xf>
    <xf numFmtId="3" fontId="57" fillId="0" borderId="11" xfId="5" applyNumberFormat="1" applyFont="1" applyFill="1" applyBorder="1" applyAlignment="1">
      <alignment horizontal="right" vertical="center" indent="1"/>
    </xf>
    <xf numFmtId="9" fontId="59" fillId="0" borderId="70" xfId="5" applyNumberFormat="1" applyFont="1" applyFill="1" applyBorder="1" applyAlignment="1">
      <alignment horizontal="right" vertical="center" indent="1"/>
    </xf>
    <xf numFmtId="3" fontId="57" fillId="0" borderId="15" xfId="11" applyNumberFormat="1" applyFont="1" applyFill="1" applyBorder="1" applyAlignment="1">
      <alignment horizontal="right" vertical="center" indent="1"/>
    </xf>
    <xf numFmtId="3" fontId="57" fillId="0" borderId="16" xfId="11" applyNumberFormat="1" applyFont="1" applyFill="1" applyBorder="1" applyAlignment="1">
      <alignment horizontal="right" vertical="center" indent="1"/>
    </xf>
    <xf numFmtId="3" fontId="57" fillId="0" borderId="18" xfId="5" applyNumberFormat="1" applyFont="1" applyFill="1" applyBorder="1" applyAlignment="1">
      <alignment horizontal="right" vertical="center" indent="1"/>
    </xf>
    <xf numFmtId="9" fontId="59" fillId="0" borderId="19" xfId="5" applyNumberFormat="1" applyFont="1" applyFill="1" applyBorder="1" applyAlignment="1">
      <alignment horizontal="right" vertical="center" indent="1"/>
    </xf>
    <xf numFmtId="3" fontId="57" fillId="0" borderId="53" xfId="11" applyNumberFormat="1" applyFont="1" applyFill="1" applyBorder="1" applyAlignment="1">
      <alignment horizontal="right" vertical="center" indent="1"/>
    </xf>
    <xf numFmtId="3" fontId="57" fillId="0" borderId="29" xfId="11" applyNumberFormat="1" applyFont="1" applyFill="1" applyBorder="1" applyAlignment="1">
      <alignment horizontal="right" vertical="center" indent="1"/>
    </xf>
    <xf numFmtId="3" fontId="57" fillId="0" borderId="28" xfId="5" applyNumberFormat="1" applyFont="1" applyFill="1" applyBorder="1" applyAlignment="1">
      <alignment horizontal="right" vertical="center" indent="1"/>
    </xf>
    <xf numFmtId="9" fontId="59" fillId="0" borderId="59" xfId="5" applyNumberFormat="1" applyFont="1" applyFill="1" applyBorder="1" applyAlignment="1">
      <alignment horizontal="right" vertical="center" indent="1"/>
    </xf>
    <xf numFmtId="3" fontId="57" fillId="0" borderId="8" xfId="5" applyNumberFormat="1" applyFont="1" applyFill="1" applyBorder="1" applyAlignment="1">
      <alignment horizontal="right" vertical="center" indent="1"/>
    </xf>
    <xf numFmtId="3" fontId="57" fillId="0" borderId="9" xfId="5" applyNumberFormat="1" applyFont="1" applyFill="1" applyBorder="1" applyAlignment="1">
      <alignment horizontal="right" vertical="center" indent="1"/>
    </xf>
    <xf numFmtId="3" fontId="57" fillId="0" borderId="15" xfId="5" applyNumberFormat="1" applyFont="1" applyFill="1" applyBorder="1" applyAlignment="1">
      <alignment horizontal="right" vertical="center" indent="1"/>
    </xf>
    <xf numFmtId="3" fontId="57" fillId="0" borderId="16" xfId="5" applyNumberFormat="1" applyFont="1" applyFill="1" applyBorder="1" applyAlignment="1">
      <alignment horizontal="right" vertical="center" indent="1"/>
    </xf>
    <xf numFmtId="3" fontId="57" fillId="2" borderId="53" xfId="5" applyNumberFormat="1" applyFont="1" applyFill="1" applyBorder="1" applyAlignment="1">
      <alignment horizontal="right" vertical="center" indent="1"/>
    </xf>
    <xf numFmtId="3" fontId="57" fillId="0" borderId="29" xfId="5" applyNumberFormat="1" applyFont="1" applyFill="1" applyBorder="1" applyAlignment="1">
      <alignment horizontal="right" vertical="center" indent="1"/>
    </xf>
    <xf numFmtId="3" fontId="57" fillId="0" borderId="53" xfId="5" applyNumberFormat="1" applyFont="1" applyFill="1" applyBorder="1" applyAlignment="1">
      <alignment horizontal="right" vertical="center" indent="1"/>
    </xf>
    <xf numFmtId="9" fontId="57" fillId="0" borderId="14" xfId="5" applyNumberFormat="1" applyFont="1" applyFill="1" applyBorder="1" applyAlignment="1">
      <alignment horizontal="right" vertical="center" indent="1"/>
    </xf>
    <xf numFmtId="9" fontId="57" fillId="0" borderId="19" xfId="5" applyNumberFormat="1" applyFont="1" applyFill="1" applyBorder="1" applyAlignment="1">
      <alignment horizontal="right" vertical="center" indent="1"/>
    </xf>
    <xf numFmtId="9" fontId="57" fillId="0" borderId="30" xfId="5" applyNumberFormat="1" applyFont="1" applyFill="1" applyBorder="1" applyAlignment="1">
      <alignment horizontal="right" vertical="center" indent="1"/>
    </xf>
    <xf numFmtId="3" fontId="57" fillId="0" borderId="48" xfId="5" applyNumberFormat="1" applyFont="1" applyFill="1" applyBorder="1" applyAlignment="1">
      <alignment horizontal="right" vertical="center" indent="1"/>
    </xf>
    <xf numFmtId="3" fontId="57" fillId="0" borderId="12" xfId="5" applyNumberFormat="1" applyFont="1" applyFill="1" applyBorder="1" applyAlignment="1">
      <alignment horizontal="right" vertical="center" indent="1"/>
    </xf>
    <xf numFmtId="3" fontId="57" fillId="0" borderId="50" xfId="5" applyNumberFormat="1" applyFont="1" applyFill="1" applyBorder="1" applyAlignment="1">
      <alignment horizontal="right" vertical="center" indent="1"/>
    </xf>
    <xf numFmtId="3" fontId="57" fillId="0" borderId="32" xfId="5" applyNumberFormat="1" applyFont="1" applyFill="1" applyBorder="1" applyAlignment="1">
      <alignment horizontal="right" vertical="center" indent="1"/>
    </xf>
    <xf numFmtId="3" fontId="57" fillId="0" borderId="33" xfId="5" applyNumberFormat="1" applyFont="1" applyFill="1" applyBorder="1" applyAlignment="1">
      <alignment horizontal="right" vertical="center" indent="1"/>
    </xf>
    <xf numFmtId="3" fontId="57" fillId="0" borderId="31" xfId="5" applyNumberFormat="1" applyFont="1" applyFill="1" applyBorder="1" applyAlignment="1">
      <alignment horizontal="right" vertical="center" indent="1"/>
    </xf>
    <xf numFmtId="9" fontId="57" fillId="0" borderId="70" xfId="5" applyNumberFormat="1" applyFont="1" applyFill="1" applyBorder="1" applyAlignment="1">
      <alignment horizontal="right" vertical="center" indent="1"/>
    </xf>
    <xf numFmtId="9" fontId="57" fillId="0" borderId="59" xfId="5" applyNumberFormat="1" applyFont="1" applyFill="1" applyBorder="1" applyAlignment="1">
      <alignment horizontal="right" vertical="center" indent="1"/>
    </xf>
    <xf numFmtId="3" fontId="57" fillId="0" borderId="38" xfId="5" applyNumberFormat="1" applyFont="1" applyFill="1" applyBorder="1" applyAlignment="1">
      <alignment horizontal="right" vertical="center" indent="1"/>
    </xf>
    <xf numFmtId="3" fontId="57" fillId="0" borderId="39" xfId="5" applyNumberFormat="1" applyFont="1" applyFill="1" applyBorder="1" applyAlignment="1">
      <alignment horizontal="right" vertical="center" indent="1"/>
    </xf>
    <xf numFmtId="3" fontId="57" fillId="0" borderId="4" xfId="5" applyNumberFormat="1" applyFont="1" applyFill="1" applyBorder="1" applyAlignment="1">
      <alignment horizontal="right" vertical="center" indent="1"/>
    </xf>
    <xf numFmtId="3" fontId="57" fillId="0" borderId="72" xfId="5" applyNumberFormat="1" applyFont="1" applyFill="1" applyBorder="1" applyAlignment="1">
      <alignment horizontal="right" vertical="center" indent="1"/>
    </xf>
    <xf numFmtId="3" fontId="57" fillId="0" borderId="73" xfId="5" applyNumberFormat="1" applyFont="1" applyFill="1" applyBorder="1" applyAlignment="1">
      <alignment horizontal="right" vertical="center" indent="1"/>
    </xf>
    <xf numFmtId="3" fontId="57" fillId="0" borderId="61" xfId="5" applyNumberFormat="1" applyFont="1" applyFill="1" applyBorder="1" applyAlignment="1">
      <alignment horizontal="right" vertical="center" indent="1"/>
    </xf>
    <xf numFmtId="3" fontId="57" fillId="0" borderId="2" xfId="5" applyNumberFormat="1" applyFont="1" applyFill="1" applyBorder="1" applyAlignment="1">
      <alignment horizontal="right" indent="1"/>
    </xf>
    <xf numFmtId="3" fontId="57" fillId="0" borderId="39" xfId="5" applyNumberFormat="1" applyFont="1" applyFill="1" applyBorder="1" applyAlignment="1">
      <alignment horizontal="right" indent="1"/>
    </xf>
    <xf numFmtId="3" fontId="57" fillId="0" borderId="74" xfId="5" applyNumberFormat="1" applyFont="1" applyFill="1" applyBorder="1" applyAlignment="1">
      <alignment horizontal="right" indent="1"/>
    </xf>
    <xf numFmtId="3" fontId="57" fillId="0" borderId="9" xfId="5" applyNumberFormat="1" applyFont="1" applyFill="1" applyBorder="1" applyAlignment="1">
      <alignment horizontal="right" indent="1"/>
    </xf>
    <xf numFmtId="3" fontId="57" fillId="0" borderId="63" xfId="5" applyNumberFormat="1" applyFont="1" applyFill="1" applyBorder="1" applyAlignment="1">
      <alignment horizontal="right" indent="1"/>
    </xf>
    <xf numFmtId="9" fontId="57" fillId="0" borderId="56" xfId="5" applyNumberFormat="1" applyFont="1" applyFill="1" applyBorder="1" applyAlignment="1">
      <alignment horizontal="right" indent="1"/>
    </xf>
    <xf numFmtId="3" fontId="57" fillId="0" borderId="20" xfId="5" applyNumberFormat="1" applyFont="1" applyFill="1" applyBorder="1" applyAlignment="1">
      <alignment horizontal="right" indent="1"/>
    </xf>
    <xf numFmtId="3" fontId="57" fillId="0" borderId="16" xfId="5" applyNumberFormat="1" applyFont="1" applyFill="1" applyBorder="1" applyAlignment="1">
      <alignment horizontal="right" indent="1"/>
    </xf>
    <xf numFmtId="3" fontId="57" fillId="0" borderId="47" xfId="5" applyNumberFormat="1" applyFont="1" applyFill="1" applyBorder="1" applyAlignment="1">
      <alignment horizontal="right" indent="1"/>
    </xf>
    <xf numFmtId="3" fontId="57" fillId="0" borderId="12" xfId="5" applyNumberFormat="1" applyFont="1" applyFill="1" applyBorder="1" applyAlignment="1">
      <alignment horizontal="right" indent="1"/>
    </xf>
    <xf numFmtId="3" fontId="57" fillId="0" borderId="55" xfId="5" applyNumberFormat="1" applyFont="1" applyFill="1" applyBorder="1" applyAlignment="1">
      <alignment horizontal="right" indent="1"/>
    </xf>
    <xf numFmtId="9" fontId="57" fillId="0" borderId="19" xfId="5" applyNumberFormat="1" applyFont="1" applyFill="1" applyBorder="1" applyAlignment="1">
      <alignment horizontal="right" indent="1"/>
    </xf>
    <xf numFmtId="9" fontId="57" fillId="0" borderId="30" xfId="5" applyNumberFormat="1" applyFont="1" applyFill="1" applyBorder="1" applyAlignment="1">
      <alignment horizontal="right" indent="1"/>
    </xf>
    <xf numFmtId="1" fontId="57" fillId="0" borderId="25" xfId="5" applyNumberFormat="1" applyFont="1" applyFill="1" applyBorder="1" applyAlignment="1">
      <alignment horizontal="right" indent="1"/>
    </xf>
    <xf numFmtId="1" fontId="57" fillId="0" borderId="37" xfId="5" applyNumberFormat="1" applyFont="1" applyFill="1" applyBorder="1" applyAlignment="1">
      <alignment horizontal="right" indent="1"/>
    </xf>
    <xf numFmtId="1" fontId="57" fillId="0" borderId="36" xfId="5" applyNumberFormat="1" applyFont="1" applyFill="1" applyBorder="1" applyAlignment="1">
      <alignment horizontal="right" indent="1"/>
    </xf>
    <xf numFmtId="9" fontId="57" fillId="0" borderId="59" xfId="5" applyNumberFormat="1" applyFont="1" applyFill="1" applyBorder="1" applyAlignment="1">
      <alignment horizontal="right" indent="1"/>
    </xf>
    <xf numFmtId="1" fontId="57" fillId="0" borderId="0" xfId="5" applyNumberFormat="1" applyFont="1" applyFill="1" applyBorder="1" applyAlignment="1">
      <alignment horizontal="right" indent="1"/>
    </xf>
    <xf numFmtId="9" fontId="57" fillId="0" borderId="14" xfId="5" applyNumberFormat="1" applyFont="1" applyFill="1" applyBorder="1" applyAlignment="1">
      <alignment horizontal="right" indent="1"/>
    </xf>
    <xf numFmtId="9" fontId="57" fillId="0" borderId="70" xfId="5" applyNumberFormat="1" applyFont="1" applyFill="1" applyBorder="1" applyAlignment="1">
      <alignment horizontal="right" indent="1"/>
    </xf>
    <xf numFmtId="1" fontId="57" fillId="0" borderId="68" xfId="5" applyNumberFormat="1" applyFont="1" applyFill="1" applyBorder="1" applyAlignment="1">
      <alignment horizontal="right" indent="1"/>
    </xf>
    <xf numFmtId="1" fontId="57" fillId="0" borderId="6" xfId="5" applyNumberFormat="1" applyFont="1" applyFill="1" applyBorder="1" applyAlignment="1">
      <alignment horizontal="right" indent="1"/>
    </xf>
    <xf numFmtId="1" fontId="57" fillId="0" borderId="5" xfId="5" applyNumberFormat="1" applyFont="1" applyFill="1" applyBorder="1" applyAlignment="1">
      <alignment horizontal="right" indent="1"/>
    </xf>
    <xf numFmtId="1" fontId="57" fillId="0" borderId="41" xfId="5" applyNumberFormat="1" applyFont="1" applyFill="1" applyBorder="1" applyAlignment="1">
      <alignment horizontal="right" indent="1"/>
    </xf>
    <xf numFmtId="1" fontId="57" fillId="0" borderId="7" xfId="5" applyNumberFormat="1" applyFont="1" applyFill="1" applyBorder="1" applyAlignment="1">
      <alignment horizontal="right" indent="1"/>
    </xf>
    <xf numFmtId="9" fontId="57" fillId="0" borderId="44" xfId="5" applyNumberFormat="1" applyFont="1" applyFill="1" applyBorder="1" applyAlignment="1">
      <alignment horizontal="right" indent="1"/>
    </xf>
    <xf numFmtId="3" fontId="57" fillId="0" borderId="8" xfId="5" applyNumberFormat="1" applyFont="1" applyFill="1" applyBorder="1" applyAlignment="1">
      <alignment horizontal="right" indent="1"/>
    </xf>
    <xf numFmtId="3" fontId="57" fillId="0" borderId="15" xfId="5" applyNumberFormat="1" applyFont="1" applyFill="1" applyBorder="1" applyAlignment="1">
      <alignment horizontal="right" indent="1"/>
    </xf>
    <xf numFmtId="3" fontId="98" fillId="0" borderId="53" xfId="5" applyNumberFormat="1" applyFont="1" applyFill="1" applyBorder="1" applyAlignment="1">
      <alignment horizontal="right" vertical="center" indent="1"/>
    </xf>
    <xf numFmtId="3" fontId="98" fillId="0" borderId="29" xfId="5" applyNumberFormat="1" applyFont="1" applyFill="1" applyBorder="1" applyAlignment="1">
      <alignment horizontal="right" vertical="center" indent="1"/>
    </xf>
    <xf numFmtId="3" fontId="98" fillId="0" borderId="28" xfId="5" applyNumberFormat="1" applyFont="1" applyFill="1" applyBorder="1" applyAlignment="1">
      <alignment horizontal="right" vertical="center" indent="1"/>
    </xf>
    <xf numFmtId="3" fontId="98" fillId="0" borderId="66" xfId="5" applyNumberFormat="1" applyFont="1" applyFill="1" applyBorder="1" applyAlignment="1">
      <alignment horizontal="right" vertical="center" indent="1"/>
    </xf>
    <xf numFmtId="3" fontId="98" fillId="0" borderId="35" xfId="5" applyNumberFormat="1" applyFont="1" applyFill="1" applyBorder="1" applyAlignment="1">
      <alignment horizontal="right" vertical="center" indent="1"/>
    </xf>
    <xf numFmtId="3" fontId="98" fillId="0" borderId="66" xfId="5" applyNumberFormat="1" applyFont="1" applyFill="1" applyBorder="1" applyAlignment="1">
      <alignment horizontal="right" indent="1"/>
    </xf>
    <xf numFmtId="3" fontId="98" fillId="0" borderId="29" xfId="5" applyNumberFormat="1" applyFont="1" applyFill="1" applyBorder="1" applyAlignment="1">
      <alignment horizontal="right" indent="1"/>
    </xf>
    <xf numFmtId="3" fontId="98" fillId="0" borderId="54" xfId="5" applyNumberFormat="1" applyFont="1" applyFill="1" applyBorder="1" applyAlignment="1">
      <alignment horizontal="right" indent="1"/>
    </xf>
    <xf numFmtId="3" fontId="98" fillId="0" borderId="32" xfId="11" applyNumberFormat="1" applyFont="1" applyFill="1" applyBorder="1" applyAlignment="1">
      <alignment horizontal="right" vertical="center" indent="1"/>
    </xf>
    <xf numFmtId="3" fontId="98" fillId="0" borderId="33" xfId="11" applyNumberFormat="1" applyFont="1" applyFill="1" applyBorder="1" applyAlignment="1">
      <alignment horizontal="right" vertical="center" indent="1"/>
    </xf>
    <xf numFmtId="3" fontId="98" fillId="0" borderId="31" xfId="5" applyNumberFormat="1" applyFont="1" applyFill="1" applyBorder="1" applyAlignment="1">
      <alignment horizontal="right" vertical="center" indent="1"/>
    </xf>
    <xf numFmtId="3" fontId="98" fillId="0" borderId="53" xfId="5" applyNumberFormat="1" applyFont="1" applyFill="1" applyBorder="1" applyAlignment="1">
      <alignment horizontal="right" indent="1"/>
    </xf>
    <xf numFmtId="0" fontId="25" fillId="0" borderId="46" xfId="5" applyFont="1" applyFill="1" applyBorder="1" applyAlignment="1">
      <alignment horizontal="center" vertical="center"/>
    </xf>
    <xf numFmtId="3" fontId="57" fillId="0" borderId="51" xfId="5" applyNumberFormat="1" applyFont="1" applyFill="1" applyBorder="1" applyAlignment="1">
      <alignment horizontal="right" indent="1"/>
    </xf>
    <xf numFmtId="0" fontId="57" fillId="0" borderId="0" xfId="5" applyFont="1" applyFill="1" applyBorder="1" applyAlignment="1">
      <alignment horizontal="right" indent="1"/>
    </xf>
    <xf numFmtId="10" fontId="57" fillId="0" borderId="51" xfId="5" applyNumberFormat="1" applyFont="1" applyFill="1" applyBorder="1" applyAlignment="1">
      <alignment horizontal="right" indent="1"/>
    </xf>
    <xf numFmtId="1" fontId="18" fillId="0" borderId="74" xfId="5" applyNumberFormat="1" applyFont="1" applyFill="1" applyBorder="1" applyAlignment="1">
      <alignment horizontal="right" vertical="center" indent="3"/>
    </xf>
    <xf numFmtId="1" fontId="18" fillId="0" borderId="47" xfId="5" applyNumberFormat="1" applyFont="1" applyFill="1" applyBorder="1" applyAlignment="1">
      <alignment horizontal="right" vertical="center" indent="3"/>
    </xf>
    <xf numFmtId="1" fontId="18" fillId="0" borderId="20" xfId="5" applyNumberFormat="1" applyFont="1" applyFill="1" applyBorder="1" applyAlignment="1">
      <alignment horizontal="right" vertical="center" indent="3"/>
    </xf>
    <xf numFmtId="1" fontId="18" fillId="0" borderId="23" xfId="5" applyNumberFormat="1" applyFont="1" applyFill="1" applyBorder="1" applyAlignment="1">
      <alignment horizontal="right" vertical="center" indent="3"/>
    </xf>
    <xf numFmtId="3" fontId="57" fillId="0" borderId="65" xfId="1" applyNumberFormat="1" applyFont="1" applyFill="1" applyBorder="1" applyAlignment="1">
      <alignment horizontal="center" vertical="center"/>
    </xf>
    <xf numFmtId="3" fontId="57" fillId="0" borderId="63" xfId="1" applyNumberFormat="1" applyFont="1" applyFill="1" applyBorder="1" applyAlignment="1">
      <alignment horizontal="center" vertical="center"/>
    </xf>
    <xf numFmtId="3" fontId="57" fillId="0" borderId="26" xfId="1" applyNumberFormat="1" applyFont="1" applyFill="1" applyBorder="1" applyAlignment="1">
      <alignment horizontal="center" vertical="center"/>
    </xf>
    <xf numFmtId="3" fontId="57" fillId="0" borderId="57" xfId="1" applyNumberFormat="1" applyFont="1" applyFill="1" applyBorder="1" applyAlignment="1">
      <alignment horizontal="right" vertical="center"/>
    </xf>
    <xf numFmtId="3" fontId="57" fillId="0" borderId="5" xfId="13" applyNumberFormat="1" applyFont="1" applyFill="1" applyBorder="1" applyAlignment="1">
      <alignment horizontal="center" vertical="center"/>
    </xf>
    <xf numFmtId="3" fontId="57" fillId="0" borderId="57" xfId="13" applyNumberFormat="1" applyFont="1" applyFill="1" applyBorder="1" applyAlignment="1">
      <alignment horizontal="center" vertical="center" readingOrder="1"/>
    </xf>
    <xf numFmtId="3" fontId="81" fillId="10" borderId="268" xfId="22" applyNumberFormat="1" applyFont="1" applyFill="1" applyBorder="1" applyAlignment="1">
      <alignment horizontal="center" vertical="center" wrapText="1" readingOrder="2"/>
    </xf>
    <xf numFmtId="3" fontId="81" fillId="10" borderId="9" xfId="22" applyNumberFormat="1" applyFont="1" applyFill="1" applyBorder="1" applyAlignment="1">
      <alignment horizontal="center" vertical="center" readingOrder="2"/>
    </xf>
    <xf numFmtId="3" fontId="81" fillId="10" borderId="9" xfId="22" applyNumberFormat="1" applyFont="1" applyFill="1" applyBorder="1" applyAlignment="1">
      <alignment horizontal="center" vertical="center" wrapText="1" readingOrder="2"/>
    </xf>
    <xf numFmtId="3" fontId="81" fillId="10" borderId="9" xfId="22" applyNumberFormat="1" applyFont="1" applyFill="1" applyBorder="1" applyAlignment="1">
      <alignment horizontal="center" vertical="justify" readingOrder="2"/>
    </xf>
    <xf numFmtId="3" fontId="81" fillId="10" borderId="11" xfId="22" applyNumberFormat="1" applyFont="1" applyFill="1" applyBorder="1" applyAlignment="1">
      <alignment horizontal="center" vertical="center" readingOrder="2"/>
    </xf>
    <xf numFmtId="3" fontId="59" fillId="0" borderId="15" xfId="22" applyNumberFormat="1" applyFont="1" applyBorder="1" applyAlignment="1">
      <alignment horizontal="center" vertical="center" readingOrder="2"/>
    </xf>
    <xf numFmtId="3" fontId="81" fillId="12" borderId="18" xfId="22" applyNumberFormat="1" applyFont="1" applyFill="1" applyBorder="1" applyAlignment="1">
      <alignment horizontal="center" vertical="center" readingOrder="2"/>
    </xf>
    <xf numFmtId="3" fontId="81" fillId="10" borderId="53" xfId="22" applyNumberFormat="1" applyFont="1" applyFill="1" applyBorder="1" applyAlignment="1">
      <alignment horizontal="center" vertical="center" readingOrder="2"/>
    </xf>
    <xf numFmtId="3" fontId="81" fillId="10" borderId="29" xfId="22" applyNumberFormat="1" applyFont="1" applyFill="1" applyBorder="1" applyAlignment="1">
      <alignment horizontal="center" vertical="center" readingOrder="2"/>
    </xf>
    <xf numFmtId="3" fontId="81" fillId="10" borderId="28" xfId="22" applyNumberFormat="1" applyFont="1" applyFill="1" applyBorder="1" applyAlignment="1">
      <alignment horizontal="center" vertical="center" readingOrder="2"/>
    </xf>
    <xf numFmtId="3" fontId="17" fillId="2" borderId="29" xfId="96" applyNumberFormat="1" applyFont="1" applyFill="1" applyBorder="1" applyAlignment="1">
      <alignment horizontal="center"/>
    </xf>
    <xf numFmtId="3" fontId="17" fillId="2" borderId="9" xfId="96" applyNumberFormat="1" applyFont="1" applyFill="1" applyBorder="1" applyAlignment="1">
      <alignment horizontal="center"/>
    </xf>
    <xf numFmtId="0" fontId="156" fillId="2" borderId="6" xfId="35" applyFont="1" applyFill="1" applyBorder="1" applyAlignment="1">
      <alignment horizontal="center" vertical="center"/>
    </xf>
    <xf numFmtId="3" fontId="17" fillId="2" borderId="10" xfId="96" applyNumberFormat="1" applyFont="1" applyFill="1" applyBorder="1" applyAlignment="1">
      <alignment horizontal="center"/>
    </xf>
    <xf numFmtId="3" fontId="17" fillId="2" borderId="17" xfId="96" applyNumberFormat="1" applyFont="1" applyFill="1" applyBorder="1" applyAlignment="1">
      <alignment horizontal="center"/>
    </xf>
    <xf numFmtId="0" fontId="17" fillId="0" borderId="17" xfId="96" applyFont="1" applyBorder="1" applyAlignment="1">
      <alignment horizontal="center"/>
    </xf>
    <xf numFmtId="1" fontId="17" fillId="2" borderId="17" xfId="96" applyNumberFormat="1" applyFont="1" applyFill="1" applyBorder="1" applyAlignment="1">
      <alignment horizontal="center"/>
    </xf>
    <xf numFmtId="3" fontId="17" fillId="0" borderId="17" xfId="96" applyNumberFormat="1" applyFont="1" applyBorder="1" applyAlignment="1">
      <alignment horizontal="center"/>
    </xf>
    <xf numFmtId="3" fontId="17" fillId="2" borderId="27" xfId="96" applyNumberFormat="1" applyFont="1" applyFill="1" applyBorder="1" applyAlignment="1">
      <alignment horizontal="center"/>
    </xf>
    <xf numFmtId="0" fontId="157" fillId="2" borderId="44" xfId="35" applyFont="1" applyFill="1" applyBorder="1" applyAlignment="1">
      <alignment horizontal="center" vertical="center"/>
    </xf>
    <xf numFmtId="3" fontId="158" fillId="2" borderId="14" xfId="96" applyNumberFormat="1" applyFont="1" applyFill="1" applyBorder="1" applyAlignment="1">
      <alignment horizontal="center"/>
    </xf>
    <xf numFmtId="183" fontId="158" fillId="0" borderId="19" xfId="97" applyNumberFormat="1" applyFont="1" applyBorder="1" applyAlignment="1">
      <alignment horizontal="center"/>
    </xf>
    <xf numFmtId="1" fontId="158" fillId="0" borderId="19" xfId="96" applyNumberFormat="1" applyFont="1" applyBorder="1" applyAlignment="1">
      <alignment horizontal="center"/>
    </xf>
    <xf numFmtId="169" fontId="158" fillId="0" borderId="19" xfId="96" applyNumberFormat="1" applyFont="1" applyBorder="1" applyAlignment="1">
      <alignment horizontal="center"/>
    </xf>
    <xf numFmtId="3" fontId="158" fillId="0" borderId="30" xfId="96" applyNumberFormat="1" applyFont="1" applyBorder="1" applyAlignment="1">
      <alignment horizontal="center"/>
    </xf>
    <xf numFmtId="0" fontId="156" fillId="2" borderId="58" xfId="35" applyFont="1" applyFill="1" applyBorder="1" applyAlignment="1">
      <alignment horizontal="center" vertical="center"/>
    </xf>
    <xf numFmtId="0" fontId="17" fillId="0" borderId="63" xfId="96" applyFont="1" applyBorder="1" applyAlignment="1">
      <alignment horizontal="center" vertical="center"/>
    </xf>
    <xf numFmtId="0" fontId="17" fillId="0" borderId="22" xfId="96" applyFont="1" applyBorder="1" applyAlignment="1">
      <alignment horizontal="center" vertical="center"/>
    </xf>
    <xf numFmtId="0" fontId="17" fillId="0" borderId="67" xfId="96" applyFont="1" applyBorder="1" applyAlignment="1">
      <alignment horizontal="center" vertical="center"/>
    </xf>
    <xf numFmtId="0" fontId="81" fillId="2" borderId="14" xfId="35" applyFont="1" applyFill="1" applyBorder="1" applyAlignment="1">
      <alignment horizontal="center" vertical="center"/>
    </xf>
    <xf numFmtId="0" fontId="81" fillId="2" borderId="19" xfId="35" applyFont="1" applyFill="1" applyBorder="1" applyAlignment="1">
      <alignment horizontal="center" vertical="center"/>
    </xf>
    <xf numFmtId="0" fontId="81" fillId="2" borderId="30" xfId="35" applyFont="1" applyFill="1" applyBorder="1" applyAlignment="1">
      <alignment horizontal="center" vertical="center"/>
    </xf>
    <xf numFmtId="1" fontId="70" fillId="0" borderId="17" xfId="5" applyNumberFormat="1" applyFont="1" applyFill="1" applyBorder="1" applyAlignment="1">
      <alignment horizontal="center" vertical="center"/>
    </xf>
    <xf numFmtId="49" fontId="47" fillId="0" borderId="15" xfId="48" applyNumberFormat="1" applyFont="1" applyFill="1" applyBorder="1" applyAlignment="1">
      <alignment horizontal="right" vertical="center" indent="3"/>
    </xf>
    <xf numFmtId="0" fontId="47" fillId="0" borderId="23" xfId="48" applyFont="1" applyFill="1" applyBorder="1" applyAlignment="1">
      <alignment horizontal="center" vertical="center"/>
    </xf>
    <xf numFmtId="1" fontId="70" fillId="0" borderId="15" xfId="5" applyNumberFormat="1" applyFont="1" applyFill="1" applyBorder="1" applyAlignment="1">
      <alignment horizontal="center" vertical="center"/>
    </xf>
    <xf numFmtId="1" fontId="70" fillId="2" borderId="15" xfId="5" applyNumberFormat="1" applyFont="1" applyFill="1" applyBorder="1" applyAlignment="1">
      <alignment horizontal="center" vertical="center"/>
    </xf>
    <xf numFmtId="0" fontId="10" fillId="0" borderId="20" xfId="48" applyFont="1" applyFill="1" applyBorder="1" applyAlignment="1">
      <alignment horizontal="center" vertical="center"/>
    </xf>
    <xf numFmtId="9" fontId="12" fillId="0" borderId="61" xfId="348" applyFont="1" applyFill="1" applyBorder="1" applyAlignment="1">
      <alignment horizontal="right" vertical="center" indent="1"/>
    </xf>
    <xf numFmtId="9" fontId="47" fillId="0" borderId="18" xfId="348" applyFont="1" applyFill="1" applyBorder="1" applyAlignment="1">
      <alignment horizontal="right" vertical="center" indent="3"/>
    </xf>
    <xf numFmtId="9" fontId="1" fillId="0" borderId="0" xfId="348" applyFont="1"/>
    <xf numFmtId="1" fontId="70" fillId="0" borderId="32" xfId="5" applyNumberFormat="1" applyFont="1" applyFill="1" applyBorder="1" applyAlignment="1">
      <alignment horizontal="center" vertical="center"/>
    </xf>
    <xf numFmtId="1" fontId="70" fillId="0" borderId="34" xfId="5" applyNumberFormat="1" applyFont="1" applyFill="1" applyBorder="1" applyAlignment="1">
      <alignment horizontal="center" vertical="center"/>
    </xf>
    <xf numFmtId="49" fontId="47" fillId="0" borderId="32" xfId="48" applyNumberFormat="1" applyFont="1" applyFill="1" applyBorder="1" applyAlignment="1">
      <alignment horizontal="right" vertical="center" indent="3"/>
    </xf>
    <xf numFmtId="9" fontId="47" fillId="0" borderId="31" xfId="348" applyFont="1" applyFill="1" applyBorder="1" applyAlignment="1">
      <alignment horizontal="right" vertical="center" indent="3"/>
    </xf>
    <xf numFmtId="1" fontId="47" fillId="0" borderId="68" xfId="48" applyNumberFormat="1" applyFont="1" applyFill="1" applyBorder="1" applyAlignment="1">
      <alignment horizontal="right" vertical="center" indent="3"/>
    </xf>
    <xf numFmtId="1" fontId="47" fillId="0" borderId="6" xfId="48" applyNumberFormat="1" applyFont="1" applyFill="1" applyBorder="1" applyAlignment="1">
      <alignment horizontal="right" vertical="center" indent="3"/>
    </xf>
    <xf numFmtId="49" fontId="47" fillId="0" borderId="68" xfId="48" applyNumberFormat="1" applyFont="1" applyFill="1" applyBorder="1" applyAlignment="1">
      <alignment horizontal="right" vertical="center" indent="3"/>
    </xf>
    <xf numFmtId="9" fontId="47" fillId="0" borderId="7" xfId="348" applyFont="1" applyFill="1" applyBorder="1" applyAlignment="1">
      <alignment horizontal="right" vertical="center" indent="3"/>
    </xf>
    <xf numFmtId="0" fontId="47" fillId="0" borderId="15" xfId="5" applyFont="1" applyFill="1" applyBorder="1" applyAlignment="1">
      <alignment horizontal="center" vertical="center" wrapText="1"/>
    </xf>
    <xf numFmtId="9" fontId="70" fillId="0" borderId="18" xfId="5" applyNumberFormat="1" applyFont="1" applyFill="1" applyBorder="1" applyAlignment="1">
      <alignment horizontal="center" vertical="center" wrapText="1"/>
    </xf>
    <xf numFmtId="0" fontId="47" fillId="0" borderId="53" xfId="5" applyFont="1" applyFill="1" applyBorder="1" applyAlignment="1">
      <alignment horizontal="center" vertical="center" wrapText="1"/>
    </xf>
    <xf numFmtId="0" fontId="70" fillId="0" borderId="29" xfId="5" applyFont="1" applyFill="1" applyBorder="1" applyAlignment="1">
      <alignment horizontal="center" vertical="center" wrapText="1" readingOrder="2"/>
    </xf>
    <xf numFmtId="9" fontId="70" fillId="0" borderId="28" xfId="5" applyNumberFormat="1" applyFont="1" applyFill="1" applyBorder="1" applyAlignment="1">
      <alignment horizontal="center" vertical="center" wrapText="1"/>
    </xf>
    <xf numFmtId="0" fontId="17" fillId="10" borderId="38" xfId="5" applyFont="1" applyFill="1" applyBorder="1" applyAlignment="1">
      <alignment horizontal="center" vertical="center" textRotation="90" wrapText="1"/>
    </xf>
    <xf numFmtId="0" fontId="17" fillId="10" borderId="39" xfId="5" applyFont="1" applyFill="1" applyBorder="1" applyAlignment="1">
      <alignment horizontal="center" vertical="center" wrapText="1"/>
    </xf>
    <xf numFmtId="0" fontId="17" fillId="10" borderId="39" xfId="5" applyFont="1" applyFill="1" applyBorder="1" applyAlignment="1">
      <alignment horizontal="center" vertical="center"/>
    </xf>
    <xf numFmtId="0" fontId="17" fillId="10" borderId="4" xfId="5" applyFont="1" applyFill="1" applyBorder="1" applyAlignment="1">
      <alignment horizontal="center" vertical="center" wrapText="1"/>
    </xf>
    <xf numFmtId="0" fontId="47" fillId="0" borderId="8" xfId="5" applyFont="1" applyFill="1" applyBorder="1" applyAlignment="1">
      <alignment horizontal="center" vertical="center" wrapText="1"/>
    </xf>
    <xf numFmtId="0" fontId="70" fillId="0" borderId="9" xfId="5" applyFont="1" applyFill="1" applyBorder="1" applyAlignment="1">
      <alignment horizontal="center" vertical="center" wrapText="1" readingOrder="2"/>
    </xf>
    <xf numFmtId="9" fontId="70" fillId="0" borderId="11" xfId="5" applyNumberFormat="1" applyFont="1" applyFill="1" applyBorder="1" applyAlignment="1">
      <alignment horizontal="center" vertical="center" wrapText="1"/>
    </xf>
    <xf numFmtId="0" fontId="47" fillId="0" borderId="32" xfId="5" applyFont="1" applyFill="1" applyBorder="1" applyAlignment="1">
      <alignment horizontal="center" vertical="center" wrapText="1"/>
    </xf>
    <xf numFmtId="9" fontId="70" fillId="0" borderId="31" xfId="5" applyNumberFormat="1" applyFont="1" applyFill="1" applyBorder="1" applyAlignment="1">
      <alignment horizontal="center" vertical="center" wrapText="1"/>
    </xf>
    <xf numFmtId="0" fontId="9" fillId="10" borderId="39" xfId="5" applyFont="1" applyFill="1" applyBorder="1" applyAlignment="1">
      <alignment horizontal="center" vertical="center"/>
    </xf>
    <xf numFmtId="0" fontId="9" fillId="10" borderId="39" xfId="5" applyFont="1" applyFill="1" applyBorder="1" applyAlignment="1">
      <alignment horizontal="center" vertical="center" wrapText="1"/>
    </xf>
    <xf numFmtId="0" fontId="9" fillId="10" borderId="4" xfId="5" applyFont="1" applyFill="1" applyBorder="1" applyAlignment="1">
      <alignment horizontal="center" vertical="center" wrapText="1"/>
    </xf>
    <xf numFmtId="0" fontId="16" fillId="0" borderId="2" xfId="98" applyFont="1" applyFill="1" applyBorder="1" applyAlignment="1">
      <alignment horizontal="center" vertical="center"/>
    </xf>
    <xf numFmtId="0" fontId="16" fillId="0" borderId="25" xfId="98" applyFont="1" applyFill="1" applyBorder="1" applyAlignment="1">
      <alignment horizontal="center" vertical="center"/>
    </xf>
    <xf numFmtId="0" fontId="12" fillId="0" borderId="269" xfId="5" applyFont="1" applyBorder="1" applyAlignment="1">
      <alignment horizontal="center" vertical="center"/>
    </xf>
    <xf numFmtId="0" fontId="12" fillId="0" borderId="270" xfId="5" applyFont="1" applyBorder="1" applyAlignment="1">
      <alignment horizontal="center" vertical="center"/>
    </xf>
    <xf numFmtId="0" fontId="12" fillId="0" borderId="271" xfId="5" applyFont="1" applyBorder="1" applyAlignment="1">
      <alignment horizontal="center" vertical="center"/>
    </xf>
    <xf numFmtId="0" fontId="12" fillId="0" borderId="272" xfId="5" applyFont="1" applyBorder="1" applyAlignment="1">
      <alignment horizontal="center" vertical="center"/>
    </xf>
    <xf numFmtId="0" fontId="18" fillId="0" borderId="0" xfId="5" applyFont="1" applyFill="1" applyAlignment="1">
      <alignment vertical="center" wrapText="1"/>
    </xf>
    <xf numFmtId="0" fontId="49" fillId="0" borderId="12" xfId="96" applyFont="1" applyBorder="1" applyAlignment="1">
      <alignment horizontal="center"/>
    </xf>
    <xf numFmtId="0" fontId="69" fillId="0" borderId="12" xfId="96" applyFont="1" applyBorder="1" applyAlignment="1">
      <alignment horizontal="center"/>
    </xf>
    <xf numFmtId="0" fontId="49" fillId="0" borderId="12" xfId="96" applyFont="1" applyBorder="1" applyAlignment="1">
      <alignment horizontal="center" vertical="center"/>
    </xf>
    <xf numFmtId="0" fontId="49" fillId="0" borderId="50" xfId="96" applyFont="1" applyBorder="1" applyAlignment="1">
      <alignment horizontal="center" vertical="center" readingOrder="2"/>
    </xf>
    <xf numFmtId="0" fontId="81" fillId="2" borderId="41" xfId="43" applyFont="1" applyFill="1" applyBorder="1" applyAlignment="1">
      <alignment horizontal="center" vertical="center"/>
    </xf>
    <xf numFmtId="0" fontId="81" fillId="2" borderId="5" xfId="43" applyFont="1" applyFill="1" applyBorder="1" applyAlignment="1">
      <alignment horizontal="center" vertical="center"/>
    </xf>
    <xf numFmtId="0" fontId="81" fillId="2" borderId="5" xfId="43" applyFont="1" applyFill="1" applyBorder="1" applyAlignment="1">
      <alignment horizontal="center" vertical="center" wrapText="1"/>
    </xf>
    <xf numFmtId="0" fontId="81" fillId="2" borderId="7" xfId="43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/>
    </xf>
    <xf numFmtId="0" fontId="9" fillId="0" borderId="58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2" borderId="6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right" vertical="center" readingOrder="2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40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right" vertical="center" wrapText="1" readingOrder="2"/>
    </xf>
    <xf numFmtId="0" fontId="14" fillId="0" borderId="0" xfId="1" applyFont="1" applyFill="1" applyBorder="1" applyAlignment="1">
      <alignment horizontal="center" vertical="center"/>
    </xf>
    <xf numFmtId="2" fontId="7" fillId="0" borderId="0" xfId="1" applyNumberFormat="1" applyFont="1" applyFill="1" applyAlignment="1">
      <alignment horizontal="right" vertical="center" readingOrder="2"/>
    </xf>
    <xf numFmtId="0" fontId="10" fillId="13" borderId="15" xfId="1" applyFont="1" applyFill="1" applyBorder="1" applyAlignment="1">
      <alignment horizontal="center" vertical="center"/>
    </xf>
    <xf numFmtId="0" fontId="10" fillId="13" borderId="17" xfId="1" applyFont="1" applyFill="1" applyBorder="1" applyAlignment="1">
      <alignment horizontal="center" vertical="center"/>
    </xf>
    <xf numFmtId="0" fontId="10" fillId="13" borderId="20" xfId="1" applyFont="1" applyFill="1" applyBorder="1" applyAlignment="1">
      <alignment horizontal="center" vertical="center" wrapText="1"/>
    </xf>
    <xf numFmtId="0" fontId="10" fillId="13" borderId="21" xfId="1" applyFont="1" applyFill="1" applyBorder="1" applyAlignment="1">
      <alignment horizontal="center" vertical="center" wrapText="1"/>
    </xf>
    <xf numFmtId="0" fontId="164" fillId="0" borderId="1" xfId="1" applyFont="1" applyFill="1" applyBorder="1" applyAlignment="1">
      <alignment horizontal="left" vertical="center"/>
    </xf>
    <xf numFmtId="0" fontId="164" fillId="0" borderId="1" xfId="1" applyFont="1" applyFill="1" applyBorder="1" applyAlignment="1">
      <alignment horizontal="right" vertical="center"/>
    </xf>
    <xf numFmtId="0" fontId="10" fillId="13" borderId="41" xfId="1" applyFont="1" applyFill="1" applyBorder="1" applyAlignment="1">
      <alignment horizontal="center" vertical="center"/>
    </xf>
    <xf numFmtId="0" fontId="10" fillId="13" borderId="6" xfId="1" applyFont="1" applyFill="1" applyBorder="1" applyAlignment="1">
      <alignment horizontal="center" vertical="center"/>
    </xf>
    <xf numFmtId="0" fontId="10" fillId="13" borderId="53" xfId="1" applyFont="1" applyFill="1" applyBorder="1" applyAlignment="1">
      <alignment horizontal="center" vertical="center"/>
    </xf>
    <xf numFmtId="0" fontId="10" fillId="13" borderId="27" xfId="1" applyFont="1" applyFill="1" applyBorder="1" applyAlignment="1">
      <alignment horizontal="center" vertical="center"/>
    </xf>
    <xf numFmtId="0" fontId="10" fillId="13" borderId="48" xfId="1" applyFont="1" applyFill="1" applyBorder="1" applyAlignment="1">
      <alignment horizontal="center" vertical="center"/>
    </xf>
    <xf numFmtId="0" fontId="10" fillId="13" borderId="13" xfId="1" applyFont="1" applyFill="1" applyBorder="1" applyAlignment="1">
      <alignment horizontal="center" vertical="center"/>
    </xf>
    <xf numFmtId="0" fontId="10" fillId="13" borderId="32" xfId="1" applyFont="1" applyFill="1" applyBorder="1" applyAlignment="1">
      <alignment horizontal="center" vertical="center"/>
    </xf>
    <xf numFmtId="0" fontId="10" fillId="13" borderId="34" xfId="1" applyFont="1" applyFill="1" applyBorder="1" applyAlignment="1">
      <alignment horizontal="center" vertical="center"/>
    </xf>
    <xf numFmtId="0" fontId="17" fillId="19" borderId="41" xfId="1" applyFont="1" applyFill="1" applyBorder="1" applyAlignment="1">
      <alignment horizontal="center" vertical="center"/>
    </xf>
    <xf numFmtId="0" fontId="17" fillId="19" borderId="6" xfId="1" applyFont="1" applyFill="1" applyBorder="1" applyAlignment="1">
      <alignment horizontal="center" vertical="center"/>
    </xf>
    <xf numFmtId="0" fontId="10" fillId="13" borderId="20" xfId="1" applyFont="1" applyFill="1" applyBorder="1" applyAlignment="1">
      <alignment horizontal="center" vertical="center"/>
    </xf>
    <xf numFmtId="0" fontId="10" fillId="13" borderId="21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right" vertical="center"/>
    </xf>
    <xf numFmtId="0" fontId="10" fillId="2" borderId="53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74" xfId="1" applyFont="1" applyFill="1" applyBorder="1" applyAlignment="1">
      <alignment horizontal="center" vertical="center"/>
    </xf>
    <xf numFmtId="0" fontId="10" fillId="2" borderId="63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3" fontId="25" fillId="4" borderId="20" xfId="5" applyNumberFormat="1" applyFont="1" applyFill="1" applyBorder="1" applyAlignment="1">
      <alignment horizontal="center" vertical="center"/>
    </xf>
    <xf numFmtId="3" fontId="25" fillId="4" borderId="21" xfId="5" applyNumberFormat="1" applyFont="1" applyFill="1" applyBorder="1" applyAlignment="1">
      <alignment horizontal="center" vertical="center"/>
    </xf>
    <xf numFmtId="3" fontId="25" fillId="4" borderId="45" xfId="5" applyNumberFormat="1" applyFont="1" applyFill="1" applyBorder="1" applyAlignment="1">
      <alignment horizontal="center" vertical="center"/>
    </xf>
    <xf numFmtId="3" fontId="80" fillId="0" borderId="1" xfId="5" applyNumberFormat="1" applyFont="1" applyFill="1" applyBorder="1" applyAlignment="1">
      <alignment horizontal="center" vertical="center"/>
    </xf>
    <xf numFmtId="3" fontId="25" fillId="0" borderId="3" xfId="5" applyNumberFormat="1" applyFont="1" applyFill="1" applyBorder="1" applyAlignment="1">
      <alignment horizontal="center" vertical="center"/>
    </xf>
    <xf numFmtId="3" fontId="25" fillId="4" borderId="68" xfId="5" applyNumberFormat="1" applyFont="1" applyFill="1" applyBorder="1" applyAlignment="1">
      <alignment horizontal="center" vertical="center"/>
    </xf>
    <xf numFmtId="3" fontId="25" fillId="4" borderId="60" xfId="5" applyNumberFormat="1" applyFont="1" applyFill="1" applyBorder="1" applyAlignment="1">
      <alignment horizontal="center" vertical="center"/>
    </xf>
    <xf numFmtId="3" fontId="25" fillId="4" borderId="58" xfId="5" applyNumberFormat="1" applyFont="1" applyFill="1" applyBorder="1" applyAlignment="1">
      <alignment horizontal="center" vertical="center"/>
    </xf>
    <xf numFmtId="0" fontId="81" fillId="0" borderId="8" xfId="1" applyFont="1" applyFill="1" applyBorder="1" applyAlignment="1">
      <alignment horizontal="center" vertical="center"/>
    </xf>
    <xf numFmtId="0" fontId="81" fillId="0" borderId="15" xfId="1" applyFont="1" applyFill="1" applyBorder="1" applyAlignment="1">
      <alignment horizontal="center" vertical="center"/>
    </xf>
    <xf numFmtId="0" fontId="81" fillId="0" borderId="53" xfId="1" applyFont="1" applyFill="1" applyBorder="1" applyAlignment="1">
      <alignment horizontal="center" vertical="center"/>
    </xf>
    <xf numFmtId="0" fontId="81" fillId="0" borderId="43" xfId="1" applyFont="1" applyFill="1" applyBorder="1" applyAlignment="1">
      <alignment horizontal="center" vertical="center"/>
    </xf>
    <xf numFmtId="0" fontId="81" fillId="0" borderId="35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80" fillId="0" borderId="1" xfId="1" applyFont="1" applyFill="1" applyBorder="1" applyAlignment="1">
      <alignment horizontal="center" vertical="center" wrapText="1"/>
    </xf>
    <xf numFmtId="0" fontId="81" fillId="0" borderId="11" xfId="1" applyFont="1" applyFill="1" applyBorder="1" applyAlignment="1">
      <alignment horizontal="center" vertical="center"/>
    </xf>
    <xf numFmtId="0" fontId="81" fillId="0" borderId="32" xfId="1" applyFont="1" applyFill="1" applyBorder="1" applyAlignment="1">
      <alignment horizontal="center" vertical="center"/>
    </xf>
    <xf numFmtId="0" fontId="81" fillId="0" borderId="31" xfId="1" applyFont="1" applyFill="1" applyBorder="1" applyAlignment="1">
      <alignment horizontal="center" vertical="center"/>
    </xf>
    <xf numFmtId="0" fontId="81" fillId="0" borderId="10" xfId="1" applyFont="1" applyFill="1" applyBorder="1" applyAlignment="1">
      <alignment horizontal="center" vertical="center"/>
    </xf>
    <xf numFmtId="0" fontId="81" fillId="0" borderId="14" xfId="1" applyFont="1" applyFill="1" applyBorder="1" applyAlignment="1">
      <alignment horizontal="center" vertical="center"/>
    </xf>
    <xf numFmtId="0" fontId="81" fillId="0" borderId="70" xfId="1" applyFont="1" applyFill="1" applyBorder="1" applyAlignment="1">
      <alignment horizontal="center" vertical="center"/>
    </xf>
    <xf numFmtId="0" fontId="81" fillId="0" borderId="48" xfId="1" applyFont="1" applyFill="1" applyBorder="1" applyAlignment="1">
      <alignment horizontal="center" vertical="center"/>
    </xf>
    <xf numFmtId="0" fontId="25" fillId="0" borderId="8" xfId="5" applyFont="1" applyFill="1" applyBorder="1" applyAlignment="1">
      <alignment horizontal="center" vertical="center"/>
    </xf>
    <xf numFmtId="0" fontId="25" fillId="0" borderId="15" xfId="5" applyFont="1" applyFill="1" applyBorder="1" applyAlignment="1">
      <alignment horizontal="center" vertical="center"/>
    </xf>
    <xf numFmtId="0" fontId="25" fillId="0" borderId="53" xfId="5" applyFont="1" applyFill="1" applyBorder="1" applyAlignment="1">
      <alignment horizontal="center" vertical="center"/>
    </xf>
    <xf numFmtId="0" fontId="80" fillId="0" borderId="0" xfId="5" applyFont="1" applyFill="1" applyAlignment="1">
      <alignment horizontal="center" vertical="center"/>
    </xf>
    <xf numFmtId="0" fontId="69" fillId="0" borderId="8" xfId="5" applyFont="1" applyFill="1" applyBorder="1" applyAlignment="1">
      <alignment horizontal="center" vertical="center"/>
    </xf>
    <xf numFmtId="0" fontId="69" fillId="0" borderId="10" xfId="5" applyFont="1" applyFill="1" applyBorder="1" applyAlignment="1">
      <alignment horizontal="center" vertical="center"/>
    </xf>
    <xf numFmtId="0" fontId="69" fillId="0" borderId="53" xfId="5" applyFont="1" applyFill="1" applyBorder="1" applyAlignment="1">
      <alignment horizontal="center" vertical="center"/>
    </xf>
    <xf numFmtId="0" fontId="69" fillId="0" borderId="27" xfId="5" applyFont="1" applyFill="1" applyBorder="1" applyAlignment="1">
      <alignment horizontal="center" vertical="center"/>
    </xf>
    <xf numFmtId="0" fontId="69" fillId="0" borderId="9" xfId="5" applyFont="1" applyFill="1" applyBorder="1" applyAlignment="1">
      <alignment horizontal="center" vertical="center"/>
    </xf>
    <xf numFmtId="0" fontId="69" fillId="0" borderId="11" xfId="5" applyFont="1" applyFill="1" applyBorder="1" applyAlignment="1">
      <alignment horizontal="center" vertical="center"/>
    </xf>
    <xf numFmtId="0" fontId="69" fillId="0" borderId="71" xfId="5" applyFont="1" applyFill="1" applyBorder="1" applyAlignment="1">
      <alignment horizontal="center" vertical="center" wrapText="1"/>
    </xf>
    <xf numFmtId="0" fontId="69" fillId="0" borderId="59" xfId="5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horizontal="center"/>
    </xf>
    <xf numFmtId="0" fontId="7" fillId="4" borderId="0" xfId="5" applyFont="1" applyFill="1" applyAlignment="1">
      <alignment horizontal="center"/>
    </xf>
    <xf numFmtId="0" fontId="27" fillId="4" borderId="0" xfId="5" applyFont="1" applyFill="1" applyAlignment="1">
      <alignment horizontal="center" wrapText="1"/>
    </xf>
    <xf numFmtId="0" fontId="25" fillId="0" borderId="48" xfId="5" applyFont="1" applyFill="1" applyBorder="1" applyAlignment="1">
      <alignment horizontal="center" vertical="center"/>
    </xf>
    <xf numFmtId="0" fontId="25" fillId="0" borderId="32" xfId="5" applyFont="1" applyFill="1" applyBorder="1" applyAlignment="1">
      <alignment horizontal="center" vertical="center"/>
    </xf>
    <xf numFmtId="0" fontId="25" fillId="0" borderId="38" xfId="5" applyFont="1" applyFill="1" applyBorder="1" applyAlignment="1">
      <alignment horizontal="center" vertical="center"/>
    </xf>
    <xf numFmtId="0" fontId="25" fillId="0" borderId="72" xfId="5" applyFont="1" applyFill="1" applyBorder="1" applyAlignment="1">
      <alignment horizontal="center" vertical="center"/>
    </xf>
    <xf numFmtId="0" fontId="25" fillId="0" borderId="43" xfId="5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right" vertical="center"/>
    </xf>
    <xf numFmtId="0" fontId="11" fillId="0" borderId="0" xfId="1" applyFont="1" applyFill="1" applyAlignment="1">
      <alignment horizontal="right" vertical="center" wrapText="1" readingOrder="2"/>
    </xf>
    <xf numFmtId="0" fontId="25" fillId="0" borderId="48" xfId="5" applyFont="1" applyFill="1" applyBorder="1" applyAlignment="1">
      <alignment horizontal="center" vertical="center" wrapText="1"/>
    </xf>
    <xf numFmtId="0" fontId="25" fillId="0" borderId="15" xfId="5" applyFont="1" applyFill="1" applyBorder="1" applyAlignment="1">
      <alignment horizontal="center" vertical="center" wrapText="1"/>
    </xf>
    <xf numFmtId="0" fontId="25" fillId="0" borderId="53" xfId="5" applyFont="1" applyFill="1" applyBorder="1" applyAlignment="1">
      <alignment horizontal="center" vertical="center" wrapText="1"/>
    </xf>
    <xf numFmtId="0" fontId="25" fillId="0" borderId="37" xfId="5" applyFont="1" applyFill="1" applyBorder="1" applyAlignment="1">
      <alignment horizontal="center" vertical="center"/>
    </xf>
    <xf numFmtId="0" fontId="25" fillId="0" borderId="8" xfId="5" applyFont="1" applyFill="1" applyBorder="1" applyAlignment="1">
      <alignment horizontal="center" vertical="center" wrapText="1"/>
    </xf>
    <xf numFmtId="0" fontId="25" fillId="0" borderId="32" xfId="5" applyFont="1" applyFill="1" applyBorder="1" applyAlignment="1">
      <alignment horizontal="center" vertical="center" wrapText="1"/>
    </xf>
    <xf numFmtId="0" fontId="25" fillId="0" borderId="41" xfId="5" applyFont="1" applyFill="1" applyBorder="1" applyAlignment="1">
      <alignment horizontal="center" vertical="center"/>
    </xf>
    <xf numFmtId="0" fontId="25" fillId="0" borderId="7" xfId="5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22" fillId="0" borderId="0" xfId="1" applyFont="1" applyFill="1" applyAlignment="1">
      <alignment horizontal="center" vertical="center"/>
    </xf>
    <xf numFmtId="0" fontId="29" fillId="0" borderId="1" xfId="1" applyFont="1" applyFill="1" applyBorder="1" applyAlignment="1">
      <alignment horizontal="left" vertical="center"/>
    </xf>
    <xf numFmtId="0" fontId="30" fillId="0" borderId="1" xfId="1" applyFont="1" applyFill="1" applyBorder="1" applyAlignment="1">
      <alignment horizontal="left" vertical="center"/>
    </xf>
    <xf numFmtId="0" fontId="31" fillId="0" borderId="1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31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10" fillId="0" borderId="70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63" xfId="5" applyFont="1" applyFill="1" applyBorder="1" applyAlignment="1">
      <alignment horizontal="center" vertical="center"/>
    </xf>
    <xf numFmtId="0" fontId="10" fillId="0" borderId="24" xfId="5" applyFont="1" applyFill="1" applyBorder="1" applyAlignment="1">
      <alignment horizontal="center" vertical="center"/>
    </xf>
    <xf numFmtId="0" fontId="10" fillId="0" borderId="28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53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/>
    </xf>
    <xf numFmtId="0" fontId="11" fillId="0" borderId="3" xfId="5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 wrapText="1" readingOrder="2"/>
    </xf>
    <xf numFmtId="0" fontId="6" fillId="0" borderId="84" xfId="1" applyBorder="1" applyAlignment="1">
      <alignment vertical="center" wrapText="1"/>
    </xf>
    <xf numFmtId="0" fontId="34" fillId="0" borderId="3" xfId="5" applyFont="1" applyFill="1" applyBorder="1" applyAlignment="1">
      <alignment horizontal="right" vertical="center"/>
    </xf>
    <xf numFmtId="0" fontId="16" fillId="4" borderId="0" xfId="1" applyFont="1" applyFill="1" applyAlignment="1">
      <alignment horizontal="center" vertical="center" wrapText="1" readingOrder="2"/>
    </xf>
    <xf numFmtId="0" fontId="37" fillId="0" borderId="0" xfId="1" applyFont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6" fillId="0" borderId="82" xfId="1" applyBorder="1" applyAlignment="1">
      <alignment vertical="center" wrapText="1"/>
    </xf>
    <xf numFmtId="0" fontId="44" fillId="0" borderId="0" xfId="1" applyFont="1" applyFill="1" applyAlignment="1">
      <alignment horizontal="right"/>
    </xf>
    <xf numFmtId="0" fontId="43" fillId="0" borderId="0" xfId="1" applyFont="1" applyFill="1" applyAlignment="1">
      <alignment horizontal="center" vertical="center"/>
    </xf>
    <xf numFmtId="0" fontId="23" fillId="0" borderId="14" xfId="1" applyFont="1" applyFill="1" applyBorder="1" applyAlignment="1">
      <alignment horizontal="center" vertical="center"/>
    </xf>
    <xf numFmtId="0" fontId="23" fillId="0" borderId="30" xfId="1" applyFont="1" applyFill="1" applyBorder="1" applyAlignment="1">
      <alignment horizontal="center" vertical="center"/>
    </xf>
    <xf numFmtId="0" fontId="23" fillId="0" borderId="63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0" borderId="74" xfId="1" applyFont="1" applyFill="1" applyBorder="1" applyAlignment="1">
      <alignment horizontal="center" vertical="center"/>
    </xf>
    <xf numFmtId="0" fontId="23" fillId="0" borderId="66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/>
    </xf>
    <xf numFmtId="0" fontId="23" fillId="0" borderId="28" xfId="1" applyFont="1" applyFill="1" applyBorder="1" applyAlignment="1">
      <alignment horizontal="center" vertical="center"/>
    </xf>
    <xf numFmtId="0" fontId="164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right"/>
    </xf>
    <xf numFmtId="0" fontId="10" fillId="0" borderId="14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63" xfId="1" applyFont="1" applyFill="1" applyBorder="1" applyAlignment="1">
      <alignment horizontal="center" vertical="center"/>
    </xf>
    <xf numFmtId="0" fontId="10" fillId="0" borderId="74" xfId="1" applyFont="1" applyFill="1" applyBorder="1" applyAlignment="1">
      <alignment horizontal="center" vertical="center"/>
    </xf>
    <xf numFmtId="0" fontId="10" fillId="0" borderId="66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53" fillId="0" borderId="0" xfId="17" applyFont="1" applyAlignment="1">
      <alignment horizontal="center" vertical="center" readingOrder="2"/>
    </xf>
    <xf numFmtId="0" fontId="80" fillId="0" borderId="1" xfId="1" applyFont="1" applyFill="1" applyBorder="1" applyAlignment="1">
      <alignment horizontal="left" vertical="center"/>
    </xf>
    <xf numFmtId="0" fontId="80" fillId="0" borderId="1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/>
    </xf>
    <xf numFmtId="0" fontId="18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horizontal="right"/>
    </xf>
    <xf numFmtId="0" fontId="80" fillId="0" borderId="0" xfId="1" applyFont="1" applyFill="1" applyAlignment="1">
      <alignment horizontal="center" vertical="center"/>
    </xf>
    <xf numFmtId="0" fontId="81" fillId="0" borderId="1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right"/>
    </xf>
    <xf numFmtId="0" fontId="69" fillId="0" borderId="1" xfId="1" applyFont="1" applyFill="1" applyBorder="1" applyAlignment="1">
      <alignment horizontal="left" vertical="center"/>
    </xf>
    <xf numFmtId="0" fontId="148" fillId="0" borderId="0" xfId="1" applyFont="1" applyFill="1" applyAlignment="1">
      <alignment horizontal="right"/>
    </xf>
    <xf numFmtId="0" fontId="69" fillId="0" borderId="14" xfId="1" applyFont="1" applyFill="1" applyBorder="1" applyAlignment="1">
      <alignment horizontal="center" vertical="center"/>
    </xf>
    <xf numFmtId="0" fontId="69" fillId="0" borderId="30" xfId="1" applyFont="1" applyFill="1" applyBorder="1" applyAlignment="1">
      <alignment horizontal="center" vertical="center"/>
    </xf>
    <xf numFmtId="0" fontId="49" fillId="0" borderId="63" xfId="1" applyFont="1" applyFill="1" applyBorder="1" applyAlignment="1">
      <alignment horizontal="center" vertical="center"/>
    </xf>
    <xf numFmtId="0" fontId="49" fillId="0" borderId="10" xfId="1" applyFont="1" applyFill="1" applyBorder="1" applyAlignment="1">
      <alignment horizontal="center" vertical="center"/>
    </xf>
    <xf numFmtId="0" fontId="69" fillId="0" borderId="74" xfId="1" applyFont="1" applyFill="1" applyBorder="1" applyAlignment="1">
      <alignment horizontal="center" vertical="center"/>
    </xf>
    <xf numFmtId="0" fontId="69" fillId="0" borderId="66" xfId="1" applyFont="1" applyFill="1" applyBorder="1" applyAlignment="1">
      <alignment horizontal="center" vertical="center"/>
    </xf>
    <xf numFmtId="0" fontId="69" fillId="0" borderId="11" xfId="1" applyFont="1" applyFill="1" applyBorder="1" applyAlignment="1">
      <alignment horizontal="center" vertical="center"/>
    </xf>
    <xf numFmtId="0" fontId="69" fillId="0" borderId="28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/>
    </xf>
    <xf numFmtId="0" fontId="62" fillId="0" borderId="1" xfId="1" applyFont="1" applyFill="1" applyBorder="1" applyAlignment="1">
      <alignment horizontal="left" vertical="center"/>
    </xf>
    <xf numFmtId="0" fontId="63" fillId="0" borderId="1" xfId="1" applyFont="1" applyFill="1" applyBorder="1" applyAlignment="1">
      <alignment horizontal="center" vertical="center"/>
    </xf>
    <xf numFmtId="0" fontId="16" fillId="0" borderId="71" xfId="1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1" fillId="0" borderId="71" xfId="1" applyFont="1" applyFill="1" applyBorder="1" applyAlignment="1">
      <alignment horizontal="center" vertical="center" wrapText="1"/>
    </xf>
    <xf numFmtId="0" fontId="11" fillId="0" borderId="59" xfId="1" applyFont="1" applyFill="1" applyBorder="1" applyAlignment="1">
      <alignment horizontal="center" vertical="center" wrapText="1"/>
    </xf>
    <xf numFmtId="0" fontId="16" fillId="0" borderId="41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54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27" fillId="4" borderId="0" xfId="1" applyFont="1" applyFill="1" applyAlignment="1">
      <alignment horizontal="center" vertical="center"/>
    </xf>
    <xf numFmtId="0" fontId="16" fillId="0" borderId="87" xfId="1" applyFont="1" applyFill="1" applyBorder="1" applyAlignment="1">
      <alignment horizontal="center" vertical="center"/>
    </xf>
    <xf numFmtId="0" fontId="66" fillId="0" borderId="0" xfId="1" applyFont="1" applyAlignment="1">
      <alignment horizontal="center" vertical="center" readingOrder="2"/>
    </xf>
    <xf numFmtId="0" fontId="75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right" vertical="center"/>
    </xf>
    <xf numFmtId="0" fontId="12" fillId="0" borderId="0" xfId="5" applyFont="1" applyFill="1" applyAlignment="1">
      <alignment horizontal="right" vertical="center"/>
    </xf>
    <xf numFmtId="0" fontId="7" fillId="0" borderId="0" xfId="5" applyFont="1" applyFill="1" applyAlignment="1">
      <alignment horizontal="right" vertical="center"/>
    </xf>
    <xf numFmtId="0" fontId="26" fillId="0" borderId="0" xfId="5" applyFont="1" applyFill="1" applyAlignment="1">
      <alignment horizontal="center" vertical="center"/>
    </xf>
    <xf numFmtId="0" fontId="10" fillId="0" borderId="30" xfId="5" applyFont="1" applyFill="1" applyBorder="1" applyAlignment="1">
      <alignment horizontal="center" vertical="center"/>
    </xf>
    <xf numFmtId="0" fontId="10" fillId="0" borderId="74" xfId="5" applyFont="1" applyFill="1" applyBorder="1" applyAlignment="1">
      <alignment horizontal="center" vertical="center"/>
    </xf>
    <xf numFmtId="0" fontId="10" fillId="0" borderId="66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right" vertical="center"/>
    </xf>
    <xf numFmtId="0" fontId="61" fillId="0" borderId="0" xfId="5" applyFont="1" applyFill="1" applyAlignment="1">
      <alignment horizontal="center" vertical="center"/>
    </xf>
    <xf numFmtId="0" fontId="72" fillId="0" borderId="0" xfId="5" applyFont="1" applyFill="1" applyBorder="1" applyAlignment="1">
      <alignment horizontal="left" vertical="center"/>
    </xf>
    <xf numFmtId="0" fontId="72" fillId="0" borderId="1" xfId="5" applyFont="1" applyFill="1" applyBorder="1" applyAlignment="1">
      <alignment horizontal="left" vertical="center"/>
    </xf>
    <xf numFmtId="0" fontId="78" fillId="0" borderId="0" xfId="5" applyFont="1" applyFill="1" applyAlignment="1">
      <alignment horizontal="center" vertical="center"/>
    </xf>
    <xf numFmtId="0" fontId="29" fillId="0" borderId="1" xfId="5" applyFont="1" applyFill="1" applyBorder="1" applyAlignment="1">
      <alignment horizontal="left" vertical="center"/>
    </xf>
    <xf numFmtId="0" fontId="23" fillId="0" borderId="63" xfId="5" applyFont="1" applyFill="1" applyBorder="1" applyAlignment="1">
      <alignment horizontal="center" vertical="center"/>
    </xf>
    <xf numFmtId="0" fontId="23" fillId="0" borderId="10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35" xfId="5" applyFont="1" applyFill="1" applyBorder="1" applyAlignment="1">
      <alignment horizontal="center" vertical="center"/>
    </xf>
    <xf numFmtId="0" fontId="61" fillId="0" borderId="1" xfId="5" applyFont="1" applyFill="1" applyBorder="1" applyAlignment="1">
      <alignment horizontal="center" vertical="center"/>
    </xf>
    <xf numFmtId="0" fontId="7" fillId="0" borderId="0" xfId="5" applyFont="1" applyFill="1" applyAlignment="1">
      <alignment horizontal="right"/>
    </xf>
    <xf numFmtId="0" fontId="22" fillId="0" borderId="0" xfId="5" applyFont="1" applyFill="1" applyBorder="1" applyAlignment="1">
      <alignment horizontal="center"/>
    </xf>
    <xf numFmtId="0" fontId="79" fillId="0" borderId="0" xfId="5" applyFont="1" applyFill="1" applyBorder="1" applyAlignment="1">
      <alignment horizontal="center"/>
    </xf>
    <xf numFmtId="3" fontId="80" fillId="0" borderId="0" xfId="22" applyNumberFormat="1" applyFont="1" applyBorder="1" applyAlignment="1">
      <alignment horizontal="center" vertical="center" readingOrder="2"/>
    </xf>
    <xf numFmtId="3" fontId="49" fillId="0" borderId="77" xfId="22" applyNumberFormat="1" applyFont="1" applyBorder="1" applyAlignment="1">
      <alignment horizontal="center" vertical="center" readingOrder="2"/>
    </xf>
    <xf numFmtId="3" fontId="49" fillId="0" borderId="0" xfId="22" applyNumberFormat="1" applyFont="1" applyBorder="1" applyAlignment="1">
      <alignment horizontal="center" vertical="center" readingOrder="2"/>
    </xf>
    <xf numFmtId="0" fontId="83" fillId="0" borderId="0" xfId="22" applyFont="1" applyBorder="1" applyAlignment="1">
      <alignment horizontal="center" vertical="center"/>
    </xf>
    <xf numFmtId="0" fontId="84" fillId="13" borderId="9" xfId="22" applyFont="1" applyFill="1" applyBorder="1" applyAlignment="1">
      <alignment horizontal="center" vertical="center" wrapText="1"/>
    </xf>
    <xf numFmtId="0" fontId="84" fillId="13" borderId="11" xfId="22" applyFont="1" applyFill="1" applyBorder="1" applyAlignment="1">
      <alignment horizontal="center" vertical="center" wrapText="1"/>
    </xf>
    <xf numFmtId="0" fontId="88" fillId="0" borderId="0" xfId="25" applyFont="1" applyAlignment="1">
      <alignment horizontal="right"/>
    </xf>
    <xf numFmtId="0" fontId="88" fillId="0" borderId="0" xfId="25" applyFont="1" applyAlignment="1">
      <alignment horizontal="right" vertical="center" wrapText="1"/>
    </xf>
    <xf numFmtId="0" fontId="87" fillId="0" borderId="0" xfId="5" applyFont="1" applyAlignment="1">
      <alignment horizontal="center" vertical="center"/>
    </xf>
    <xf numFmtId="0" fontId="155" fillId="0" borderId="0" xfId="95" applyFont="1" applyFill="1" applyBorder="1" applyAlignment="1">
      <alignment horizontal="center" vertical="center"/>
    </xf>
    <xf numFmtId="0" fontId="47" fillId="0" borderId="0" xfId="98" applyFont="1" applyFill="1" applyAlignment="1">
      <alignment horizontal="center"/>
    </xf>
    <xf numFmtId="0" fontId="10" fillId="0" borderId="46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51" xfId="5" applyFont="1" applyFill="1" applyBorder="1" applyAlignment="1">
      <alignment horizontal="center" vertical="center"/>
    </xf>
    <xf numFmtId="0" fontId="56" fillId="0" borderId="68" xfId="5" applyFont="1" applyFill="1" applyBorder="1" applyAlignment="1">
      <alignment horizontal="center" vertical="center" wrapText="1"/>
    </xf>
    <xf numFmtId="0" fontId="56" fillId="0" borderId="60" xfId="5" applyFont="1" applyFill="1" applyBorder="1" applyAlignment="1">
      <alignment horizontal="center" vertical="center" wrapText="1"/>
    </xf>
    <xf numFmtId="0" fontId="56" fillId="0" borderId="58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69" xfId="5" applyFont="1" applyFill="1" applyBorder="1" applyAlignment="1">
      <alignment horizontal="center" vertical="center"/>
    </xf>
    <xf numFmtId="0" fontId="10" fillId="0" borderId="25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88" xfId="5" applyFont="1" applyFill="1" applyBorder="1" applyAlignment="1">
      <alignment horizontal="center" vertical="center"/>
    </xf>
    <xf numFmtId="0" fontId="10" fillId="0" borderId="76" xfId="5" applyFont="1" applyFill="1" applyBorder="1" applyAlignment="1">
      <alignment horizontal="center" vertical="center"/>
    </xf>
    <xf numFmtId="0" fontId="10" fillId="0" borderId="86" xfId="5" applyFont="1" applyFill="1" applyBorder="1" applyAlignment="1">
      <alignment horizontal="center" vertical="center"/>
    </xf>
    <xf numFmtId="0" fontId="71" fillId="0" borderId="46" xfId="5" applyFont="1" applyFill="1" applyBorder="1" applyAlignment="1">
      <alignment horizontal="right" vertical="center" indent="1"/>
    </xf>
    <xf numFmtId="0" fontId="71" fillId="0" borderId="0" xfId="5" applyFont="1" applyFill="1" applyBorder="1" applyAlignment="1">
      <alignment horizontal="right" vertical="center" indent="1"/>
    </xf>
    <xf numFmtId="0" fontId="71" fillId="0" borderId="51" xfId="5" applyFont="1" applyFill="1" applyBorder="1" applyAlignment="1">
      <alignment horizontal="right" vertical="center" indent="1"/>
    </xf>
    <xf numFmtId="0" fontId="7" fillId="0" borderId="0" xfId="5" applyFont="1" applyFill="1" applyAlignment="1">
      <alignment horizontal="right" vertical="center" wrapText="1" readingOrder="2"/>
    </xf>
    <xf numFmtId="0" fontId="44" fillId="0" borderId="3" xfId="5" applyFont="1" applyFill="1" applyBorder="1" applyAlignment="1">
      <alignment horizontal="right" vertical="top" wrapText="1"/>
    </xf>
    <xf numFmtId="0" fontId="11" fillId="0" borderId="0" xfId="48" applyFont="1" applyFill="1" applyAlignment="1">
      <alignment horizontal="right"/>
    </xf>
    <xf numFmtId="0" fontId="72" fillId="0" borderId="0" xfId="48" applyFont="1" applyFill="1" applyAlignment="1">
      <alignment horizontal="center" vertical="center"/>
    </xf>
    <xf numFmtId="0" fontId="93" fillId="0" borderId="1" xfId="48" applyFont="1" applyFill="1" applyBorder="1" applyAlignment="1">
      <alignment horizontal="left" vertical="center"/>
    </xf>
    <xf numFmtId="0" fontId="10" fillId="0" borderId="74" xfId="48" applyFont="1" applyFill="1" applyBorder="1" applyAlignment="1">
      <alignment horizontal="center" vertical="center"/>
    </xf>
    <xf numFmtId="0" fontId="10" fillId="0" borderId="23" xfId="48" applyFont="1" applyFill="1" applyBorder="1" applyAlignment="1">
      <alignment horizontal="center" vertical="center"/>
    </xf>
    <xf numFmtId="0" fontId="23" fillId="0" borderId="8" xfId="48" applyFont="1" applyFill="1" applyBorder="1" applyAlignment="1">
      <alignment horizontal="center" vertical="center"/>
    </xf>
    <xf numFmtId="0" fontId="23" fillId="0" borderId="10" xfId="48" applyFont="1" applyFill="1" applyBorder="1" applyAlignment="1">
      <alignment horizontal="center" vertical="center"/>
    </xf>
    <xf numFmtId="0" fontId="10" fillId="0" borderId="11" xfId="48" applyFont="1" applyFill="1" applyBorder="1" applyAlignment="1">
      <alignment horizontal="center" vertical="center"/>
    </xf>
    <xf numFmtId="0" fontId="10" fillId="0" borderId="31" xfId="48" applyFont="1" applyFill="1" applyBorder="1" applyAlignment="1">
      <alignment horizontal="center" vertical="center"/>
    </xf>
    <xf numFmtId="3" fontId="94" fillId="0" borderId="1" xfId="48" applyNumberFormat="1" applyFont="1" applyFill="1" applyBorder="1" applyAlignment="1">
      <alignment horizontal="center" vertical="center" wrapText="1"/>
    </xf>
    <xf numFmtId="0" fontId="11" fillId="0" borderId="3" xfId="48" applyFont="1" applyFill="1" applyBorder="1" applyAlignment="1">
      <alignment horizontal="right" vertical="top" wrapText="1"/>
    </xf>
    <xf numFmtId="0" fontId="7" fillId="0" borderId="0" xfId="5" applyFont="1" applyFill="1" applyAlignment="1">
      <alignment horizontal="right" vertical="center" wrapText="1"/>
    </xf>
    <xf numFmtId="0" fontId="10" fillId="0" borderId="46" xfId="1" applyFont="1" applyFill="1" applyBorder="1" applyAlignment="1">
      <alignment horizontal="center" vertical="center"/>
    </xf>
    <xf numFmtId="0" fontId="10" fillId="0" borderId="51" xfId="1" applyFont="1" applyFill="1" applyBorder="1" applyAlignment="1">
      <alignment horizontal="center" vertical="center"/>
    </xf>
    <xf numFmtId="0" fontId="10" fillId="0" borderId="47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44" fillId="0" borderId="3" xfId="1" applyFont="1" applyFill="1" applyBorder="1" applyAlignment="1">
      <alignment horizontal="right" vertical="top" wrapText="1"/>
    </xf>
    <xf numFmtId="0" fontId="44" fillId="0" borderId="0" xfId="1" applyFont="1" applyFill="1" applyAlignment="1">
      <alignment horizontal="right" vertical="center" wrapText="1" readingOrder="2"/>
    </xf>
    <xf numFmtId="0" fontId="7" fillId="0" borderId="0" xfId="5" applyFont="1" applyFill="1" applyBorder="1" applyAlignment="1">
      <alignment horizontal="right" vertical="center" wrapText="1"/>
    </xf>
    <xf numFmtId="0" fontId="10" fillId="0" borderId="46" xfId="1" applyFont="1" applyFill="1" applyBorder="1" applyAlignment="1">
      <alignment horizontal="center" vertical="center" readingOrder="2"/>
    </xf>
    <xf numFmtId="0" fontId="10" fillId="0" borderId="51" xfId="1" applyFont="1" applyFill="1" applyBorder="1" applyAlignment="1">
      <alignment horizontal="center" vertical="center" readingOrder="2"/>
    </xf>
    <xf numFmtId="0" fontId="43" fillId="2" borderId="1" xfId="1" applyFont="1" applyFill="1" applyBorder="1" applyAlignment="1">
      <alignment horizontal="center" vertical="center"/>
    </xf>
    <xf numFmtId="0" fontId="10" fillId="0" borderId="88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71" fillId="0" borderId="2" xfId="1" applyFont="1" applyFill="1" applyBorder="1" applyAlignment="1">
      <alignment horizontal="right" vertical="center" indent="1"/>
    </xf>
    <xf numFmtId="0" fontId="71" fillId="0" borderId="69" xfId="1" applyFont="1" applyFill="1" applyBorder="1" applyAlignment="1">
      <alignment horizontal="right" vertical="center" indent="1"/>
    </xf>
    <xf numFmtId="0" fontId="71" fillId="0" borderId="46" xfId="1" applyFont="1" applyFill="1" applyBorder="1" applyAlignment="1">
      <alignment horizontal="right" vertical="center" indent="1"/>
    </xf>
    <xf numFmtId="0" fontId="71" fillId="0" borderId="51" xfId="1" applyFont="1" applyFill="1" applyBorder="1" applyAlignment="1">
      <alignment horizontal="right" vertical="center" indent="1"/>
    </xf>
    <xf numFmtId="0" fontId="26" fillId="0" borderId="1" xfId="5" applyFont="1" applyFill="1" applyBorder="1" applyAlignment="1">
      <alignment horizontal="center" vertical="center"/>
    </xf>
    <xf numFmtId="0" fontId="16" fillId="0" borderId="0" xfId="5" applyFont="1" applyFill="1" applyAlignment="1">
      <alignment horizontal="right" vertical="top" wrapText="1"/>
    </xf>
    <xf numFmtId="0" fontId="16" fillId="0" borderId="0" xfId="5" applyFont="1" applyFill="1" applyAlignment="1">
      <alignment horizontal="right" vertical="top"/>
    </xf>
    <xf numFmtId="0" fontId="60" fillId="17" borderId="0" xfId="5" applyFont="1" applyFill="1" applyAlignment="1">
      <alignment horizontal="center" vertical="center" wrapText="1"/>
    </xf>
    <xf numFmtId="0" fontId="26" fillId="0" borderId="0" xfId="5" applyFont="1" applyFill="1" applyBorder="1" applyAlignment="1">
      <alignment horizontal="center" vertical="center"/>
    </xf>
    <xf numFmtId="0" fontId="70" fillId="0" borderId="16" xfId="5" applyFont="1" applyFill="1" applyBorder="1" applyAlignment="1">
      <alignment horizontal="center" vertical="center" wrapText="1" readingOrder="2"/>
    </xf>
    <xf numFmtId="0" fontId="70" fillId="0" borderId="29" xfId="5" applyFont="1" applyFill="1" applyBorder="1" applyAlignment="1">
      <alignment horizontal="center" vertical="center" wrapText="1" readingOrder="2"/>
    </xf>
    <xf numFmtId="0" fontId="47" fillId="0" borderId="0" xfId="5" applyFont="1" applyFill="1" applyBorder="1" applyAlignment="1">
      <alignment horizontal="right" vertical="center" wrapText="1"/>
    </xf>
    <xf numFmtId="0" fontId="47" fillId="0" borderId="9" xfId="5" applyFont="1" applyFill="1" applyBorder="1" applyAlignment="1">
      <alignment horizontal="center" vertical="center" wrapText="1"/>
    </xf>
    <xf numFmtId="0" fontId="47" fillId="0" borderId="16" xfId="5" applyFont="1" applyFill="1" applyBorder="1" applyAlignment="1">
      <alignment horizontal="center" vertical="center" wrapText="1"/>
    </xf>
    <xf numFmtId="0" fontId="9" fillId="10" borderId="38" xfId="5" applyFont="1" applyFill="1" applyBorder="1" applyAlignment="1">
      <alignment horizontal="center" vertical="center"/>
    </xf>
    <xf numFmtId="0" fontId="9" fillId="10" borderId="39" xfId="5" applyFont="1" applyFill="1" applyBorder="1" applyAlignment="1">
      <alignment horizontal="center" vertical="center"/>
    </xf>
    <xf numFmtId="0" fontId="70" fillId="0" borderId="39" xfId="5" applyFont="1" applyFill="1" applyBorder="1" applyAlignment="1">
      <alignment horizontal="center" vertical="center" wrapText="1" readingOrder="2"/>
    </xf>
    <xf numFmtId="0" fontId="70" fillId="0" borderId="73" xfId="5" applyFont="1" applyFill="1" applyBorder="1" applyAlignment="1">
      <alignment horizontal="center" vertical="center" wrapText="1" readingOrder="2"/>
    </xf>
    <xf numFmtId="0" fontId="70" fillId="0" borderId="12" xfId="5" applyFont="1" applyFill="1" applyBorder="1" applyAlignment="1">
      <alignment horizontal="center" vertical="center" wrapText="1" readingOrder="2"/>
    </xf>
    <xf numFmtId="0" fontId="22" fillId="0" borderId="0" xfId="98" applyFont="1" applyFill="1" applyBorder="1" applyAlignment="1">
      <alignment horizontal="center" vertical="center"/>
    </xf>
    <xf numFmtId="0" fontId="12" fillId="0" borderId="173" xfId="5" applyFont="1" applyBorder="1" applyAlignment="1">
      <alignment horizontal="center" vertical="center"/>
    </xf>
    <xf numFmtId="0" fontId="12" fillId="0" borderId="174" xfId="5" applyFont="1" applyBorder="1" applyAlignment="1">
      <alignment horizontal="center" vertical="center"/>
    </xf>
    <xf numFmtId="0" fontId="12" fillId="0" borderId="166" xfId="5" applyFont="1" applyBorder="1" applyAlignment="1">
      <alignment horizontal="center" vertical="center"/>
    </xf>
    <xf numFmtId="0" fontId="44" fillId="0" borderId="0" xfId="98" applyFont="1" applyFill="1" applyAlignment="1">
      <alignment horizontal="center"/>
    </xf>
    <xf numFmtId="0" fontId="7" fillId="0" borderId="25" xfId="98" applyFont="1" applyFill="1" applyBorder="1" applyAlignment="1">
      <alignment horizontal="center"/>
    </xf>
    <xf numFmtId="0" fontId="7" fillId="0" borderId="88" xfId="98" applyFont="1" applyFill="1" applyBorder="1" applyAlignment="1">
      <alignment horizontal="center"/>
    </xf>
    <xf numFmtId="0" fontId="16" fillId="0" borderId="8" xfId="98" applyFont="1" applyFill="1" applyBorder="1" applyAlignment="1">
      <alignment horizontal="center" vertical="center"/>
    </xf>
    <xf numFmtId="0" fontId="16" fillId="0" borderId="53" xfId="98" applyFont="1" applyFill="1" applyBorder="1" applyAlignment="1">
      <alignment horizontal="center" vertical="center"/>
    </xf>
    <xf numFmtId="0" fontId="16" fillId="0" borderId="86" xfId="98" applyFont="1" applyFill="1" applyBorder="1" applyAlignment="1">
      <alignment horizontal="center" vertical="center" textRotation="90"/>
    </xf>
    <xf numFmtId="0" fontId="16" fillId="0" borderId="54" xfId="98" applyFont="1" applyFill="1" applyBorder="1" applyAlignment="1">
      <alignment horizontal="center" vertical="center" textRotation="90"/>
    </xf>
    <xf numFmtId="0" fontId="10" fillId="0" borderId="76" xfId="5" applyFont="1" applyFill="1" applyBorder="1" applyAlignment="1">
      <alignment horizontal="center" vertical="center" textRotation="90"/>
    </xf>
    <xf numFmtId="0" fontId="10" fillId="0" borderId="64" xfId="5" applyFont="1" applyFill="1" applyBorder="1" applyAlignment="1">
      <alignment horizontal="center" vertical="center" textRotation="90"/>
    </xf>
    <xf numFmtId="0" fontId="10" fillId="0" borderId="14" xfId="5" applyFont="1" applyFill="1" applyBorder="1" applyAlignment="1">
      <alignment horizontal="center" vertical="center" textRotation="90" wrapText="1"/>
    </xf>
    <xf numFmtId="0" fontId="10" fillId="0" borderId="30" xfId="5" applyFont="1" applyFill="1" applyBorder="1" applyAlignment="1">
      <alignment horizontal="center" vertical="center" textRotation="90" wrapText="1"/>
    </xf>
    <xf numFmtId="0" fontId="11" fillId="0" borderId="0" xfId="5" applyFont="1" applyFill="1" applyAlignment="1">
      <alignment horizontal="right" vertical="center" wrapText="1"/>
    </xf>
    <xf numFmtId="0" fontId="18" fillId="0" borderId="0" xfId="5" applyFont="1" applyFill="1" applyAlignment="1">
      <alignment horizontal="right" vertical="center" wrapText="1"/>
    </xf>
    <xf numFmtId="0" fontId="22" fillId="0" borderId="0" xfId="5" applyFont="1" applyFill="1" applyBorder="1" applyAlignment="1">
      <alignment horizontal="center" vertical="center"/>
    </xf>
    <xf numFmtId="0" fontId="71" fillId="0" borderId="1" xfId="5" applyFont="1" applyFill="1" applyBorder="1" applyAlignment="1">
      <alignment horizontal="left" vertical="center"/>
    </xf>
    <xf numFmtId="0" fontId="10" fillId="0" borderId="19" xfId="5" applyFont="1" applyFill="1" applyBorder="1" applyAlignment="1">
      <alignment horizontal="center" vertical="center"/>
    </xf>
    <xf numFmtId="0" fontId="10" fillId="0" borderId="38" xfId="5" applyFont="1" applyFill="1" applyBorder="1" applyAlignment="1">
      <alignment horizontal="center" vertical="center"/>
    </xf>
    <xf numFmtId="0" fontId="10" fillId="0" borderId="39" xfId="5" applyFont="1" applyFill="1" applyBorder="1" applyAlignment="1">
      <alignment horizontal="center" vertical="center"/>
    </xf>
    <xf numFmtId="0" fontId="10" fillId="0" borderId="62" xfId="5" applyFont="1" applyFill="1" applyBorder="1" applyAlignment="1">
      <alignment horizontal="center" vertical="center"/>
    </xf>
    <xf numFmtId="0" fontId="10" fillId="0" borderId="86" xfId="5" applyFont="1" applyFill="1" applyBorder="1" applyAlignment="1">
      <alignment horizontal="center" vertical="center" textRotation="90"/>
    </xf>
    <xf numFmtId="0" fontId="10" fillId="0" borderId="45" xfId="5" applyFont="1" applyFill="1" applyBorder="1" applyAlignment="1">
      <alignment horizontal="center" vertical="center" textRotation="90"/>
    </xf>
    <xf numFmtId="0" fontId="10" fillId="0" borderId="54" xfId="5" applyFont="1" applyFill="1" applyBorder="1" applyAlignment="1">
      <alignment horizontal="center" vertical="center" textRotation="90"/>
    </xf>
    <xf numFmtId="0" fontId="10" fillId="0" borderId="43" xfId="5" applyFont="1" applyFill="1" applyBorder="1" applyAlignment="1">
      <alignment horizontal="center" vertical="center"/>
    </xf>
    <xf numFmtId="0" fontId="10" fillId="0" borderId="27" xfId="5" applyFont="1" applyFill="1" applyBorder="1" applyAlignment="1">
      <alignment horizontal="center" vertical="center"/>
    </xf>
    <xf numFmtId="0" fontId="10" fillId="0" borderId="63" xfId="5" applyFont="1" applyFill="1" applyBorder="1" applyAlignment="1">
      <alignment horizontal="center" vertical="center" textRotation="90"/>
    </xf>
    <xf numFmtId="0" fontId="10" fillId="0" borderId="67" xfId="5" applyFont="1" applyFill="1" applyBorder="1" applyAlignment="1">
      <alignment horizontal="center" vertical="center" textRotation="90"/>
    </xf>
    <xf numFmtId="0" fontId="7" fillId="0" borderId="0" xfId="5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right" vertical="center" wrapText="1" readingOrder="2"/>
    </xf>
    <xf numFmtId="0" fontId="7" fillId="0" borderId="0" xfId="5" applyFont="1" applyFill="1" applyBorder="1" applyAlignment="1">
      <alignment horizontal="right" vertical="center" readingOrder="2"/>
    </xf>
    <xf numFmtId="0" fontId="11" fillId="0" borderId="3" xfId="5" applyFont="1" applyFill="1" applyBorder="1" applyAlignment="1">
      <alignment horizontal="center" vertical="center" wrapText="1"/>
    </xf>
    <xf numFmtId="0" fontId="46" fillId="0" borderId="0" xfId="99" applyFont="1" applyBorder="1" applyAlignment="1">
      <alignment horizontal="center"/>
    </xf>
    <xf numFmtId="0" fontId="9" fillId="2" borderId="1" xfId="99" applyFont="1" applyFill="1" applyBorder="1" applyAlignment="1">
      <alignment horizontal="center" vertical="center"/>
    </xf>
    <xf numFmtId="0" fontId="23" fillId="2" borderId="71" xfId="99" applyFont="1" applyFill="1" applyBorder="1" applyAlignment="1">
      <alignment horizontal="center" vertical="center" wrapText="1"/>
    </xf>
    <xf numFmtId="0" fontId="23" fillId="2" borderId="56" xfId="99" applyFont="1" applyFill="1" applyBorder="1" applyAlignment="1">
      <alignment horizontal="center" vertical="center" wrapText="1"/>
    </xf>
    <xf numFmtId="0" fontId="23" fillId="2" borderId="68" xfId="99" applyFont="1" applyFill="1" applyBorder="1" applyAlignment="1">
      <alignment horizontal="center" vertical="center" wrapText="1"/>
    </xf>
    <xf numFmtId="0" fontId="23" fillId="2" borderId="60" xfId="99" applyFont="1" applyFill="1" applyBorder="1" applyAlignment="1">
      <alignment horizontal="center" vertical="center" wrapText="1"/>
    </xf>
    <xf numFmtId="0" fontId="23" fillId="2" borderId="58" xfId="99" applyFont="1" applyFill="1" applyBorder="1" applyAlignment="1">
      <alignment horizontal="center" vertical="center" wrapText="1"/>
    </xf>
    <xf numFmtId="0" fontId="59" fillId="2" borderId="15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center" vertical="center"/>
    </xf>
    <xf numFmtId="0" fontId="163" fillId="2" borderId="0" xfId="43" applyFont="1" applyFill="1" applyAlignment="1">
      <alignment horizontal="center" vertical="center"/>
    </xf>
    <xf numFmtId="0" fontId="59" fillId="2" borderId="72" xfId="43" applyFont="1" applyFill="1" applyBorder="1" applyAlignment="1">
      <alignment horizontal="center" vertical="center"/>
    </xf>
    <xf numFmtId="0" fontId="59" fillId="2" borderId="48" xfId="43" applyFont="1" applyFill="1" applyBorder="1" applyAlignment="1">
      <alignment horizontal="center" vertical="center"/>
    </xf>
    <xf numFmtId="0" fontId="59" fillId="2" borderId="32" xfId="43" applyFont="1" applyFill="1" applyBorder="1" applyAlignment="1">
      <alignment horizontal="center" vertical="center"/>
    </xf>
    <xf numFmtId="0" fontId="164" fillId="2" borderId="211" xfId="35" applyFont="1" applyFill="1" applyBorder="1" applyAlignment="1">
      <alignment horizontal="center" vertical="center"/>
    </xf>
    <xf numFmtId="0" fontId="164" fillId="2" borderId="215" xfId="35" applyFont="1" applyFill="1" applyBorder="1" applyAlignment="1">
      <alignment horizontal="center" vertical="center"/>
    </xf>
    <xf numFmtId="0" fontId="164" fillId="2" borderId="216" xfId="35" applyFont="1" applyFill="1" applyBorder="1" applyAlignment="1">
      <alignment horizontal="center" vertical="center"/>
    </xf>
    <xf numFmtId="0" fontId="81" fillId="2" borderId="212" xfId="35" applyFont="1" applyFill="1" applyBorder="1" applyAlignment="1">
      <alignment horizontal="center" vertical="center"/>
    </xf>
    <xf numFmtId="0" fontId="81" fillId="2" borderId="213" xfId="35" applyFont="1" applyFill="1" applyBorder="1" applyAlignment="1">
      <alignment horizontal="center" vertical="center"/>
    </xf>
    <xf numFmtId="0" fontId="81" fillId="2" borderId="214" xfId="35" applyFont="1" applyFill="1" applyBorder="1" applyAlignment="1">
      <alignment horizontal="center" vertical="center"/>
    </xf>
    <xf numFmtId="0" fontId="165" fillId="2" borderId="2" xfId="35" applyFont="1" applyFill="1" applyBorder="1" applyAlignment="1">
      <alignment horizontal="center" vertical="center"/>
    </xf>
    <xf numFmtId="0" fontId="165" fillId="2" borderId="69" xfId="35" applyFont="1" applyFill="1" applyBorder="1" applyAlignment="1">
      <alignment horizontal="center" vertical="center"/>
    </xf>
    <xf numFmtId="0" fontId="165" fillId="2" borderId="47" xfId="35" applyFont="1" applyFill="1" applyBorder="1" applyAlignment="1">
      <alignment horizontal="center" vertical="center"/>
    </xf>
    <xf numFmtId="0" fontId="165" fillId="2" borderId="49" xfId="35" applyFont="1" applyFill="1" applyBorder="1" applyAlignment="1">
      <alignment horizontal="center" vertical="center"/>
    </xf>
    <xf numFmtId="0" fontId="81" fillId="2" borderId="20" xfId="35" applyFont="1" applyFill="1" applyBorder="1" applyAlignment="1">
      <alignment horizontal="center" vertical="center"/>
    </xf>
    <xf numFmtId="0" fontId="81" fillId="2" borderId="22" xfId="35" applyFont="1" applyFill="1" applyBorder="1" applyAlignment="1">
      <alignment horizontal="center" vertical="center"/>
    </xf>
    <xf numFmtId="0" fontId="81" fillId="2" borderId="17" xfId="35" applyFont="1" applyFill="1" applyBorder="1" applyAlignment="1">
      <alignment horizontal="center" vertical="center"/>
    </xf>
    <xf numFmtId="0" fontId="81" fillId="2" borderId="45" xfId="35" applyFont="1" applyFill="1" applyBorder="1" applyAlignment="1">
      <alignment horizontal="center" vertical="center"/>
    </xf>
    <xf numFmtId="0" fontId="75" fillId="0" borderId="1" xfId="1" applyFont="1" applyFill="1" applyBorder="1" applyAlignment="1">
      <alignment horizontal="center" vertical="center"/>
    </xf>
    <xf numFmtId="0" fontId="69" fillId="2" borderId="2" xfId="36" applyFont="1" applyFill="1" applyBorder="1" applyAlignment="1">
      <alignment horizontal="center" vertical="center" textRotation="90" wrapText="1" readingOrder="2"/>
    </xf>
    <xf numFmtId="0" fontId="69" fillId="2" borderId="46" xfId="36" applyFont="1" applyFill="1" applyBorder="1" applyAlignment="1">
      <alignment horizontal="center" vertical="center" textRotation="90" wrapText="1" readingOrder="2"/>
    </xf>
    <xf numFmtId="0" fontId="69" fillId="2" borderId="25" xfId="36" applyFont="1" applyFill="1" applyBorder="1" applyAlignment="1">
      <alignment horizontal="center" vertical="center" textRotation="90" wrapText="1" readingOrder="2"/>
    </xf>
    <xf numFmtId="0" fontId="105" fillId="2" borderId="127" xfId="36" applyFont="1" applyFill="1" applyBorder="1" applyAlignment="1">
      <alignment horizontal="center" vertical="center" wrapText="1" readingOrder="2"/>
    </xf>
    <xf numFmtId="0" fontId="105" fillId="2" borderId="120" xfId="36" applyFont="1" applyFill="1" applyBorder="1" applyAlignment="1">
      <alignment horizontal="center" vertical="center" wrapText="1" readingOrder="2"/>
    </xf>
    <xf numFmtId="0" fontId="105" fillId="2" borderId="114" xfId="36" applyFont="1" applyFill="1" applyBorder="1" applyAlignment="1">
      <alignment horizontal="center" vertical="center" wrapText="1" readingOrder="2"/>
    </xf>
    <xf numFmtId="0" fontId="106" fillId="2" borderId="113" xfId="36" applyFont="1" applyFill="1" applyBorder="1" applyAlignment="1">
      <alignment horizontal="center" vertical="center" wrapText="1" readingOrder="2"/>
    </xf>
    <xf numFmtId="0" fontId="106" fillId="2" borderId="3" xfId="36" applyFont="1" applyFill="1" applyBorder="1" applyAlignment="1">
      <alignment horizontal="center" vertical="center" wrapText="1" readingOrder="2"/>
    </xf>
    <xf numFmtId="0" fontId="106" fillId="2" borderId="122" xfId="36" applyFont="1" applyFill="1" applyBorder="1" applyAlignment="1">
      <alignment horizontal="center" vertical="center" wrapText="1" readingOrder="2"/>
    </xf>
    <xf numFmtId="0" fontId="106" fillId="2" borderId="77" xfId="36" applyFont="1" applyFill="1" applyBorder="1" applyAlignment="1">
      <alignment horizontal="center" vertical="center" wrapText="1" readingOrder="2"/>
    </xf>
    <xf numFmtId="0" fontId="105" fillId="2" borderId="126" xfId="36" applyFont="1" applyFill="1" applyBorder="1" applyAlignment="1">
      <alignment horizontal="center" vertical="center" wrapText="1" readingOrder="2"/>
    </xf>
    <xf numFmtId="0" fontId="105" fillId="2" borderId="76" xfId="36" applyFont="1" applyFill="1" applyBorder="1" applyAlignment="1">
      <alignment horizontal="center" vertical="center" wrapText="1" readingOrder="2"/>
    </xf>
    <xf numFmtId="0" fontId="105" fillId="2" borderId="125" xfId="36" applyFont="1" applyFill="1" applyBorder="1" applyAlignment="1">
      <alignment horizontal="center" vertical="center" wrapText="1" readingOrder="2"/>
    </xf>
    <xf numFmtId="0" fontId="106" fillId="2" borderId="112" xfId="36" applyFont="1" applyFill="1" applyBorder="1" applyAlignment="1">
      <alignment horizontal="center" vertical="center" wrapText="1" readingOrder="2"/>
    </xf>
    <xf numFmtId="0" fontId="106" fillId="2" borderId="118" xfId="36" applyFont="1" applyFill="1" applyBorder="1" applyAlignment="1">
      <alignment horizontal="center" vertical="center" wrapText="1" readingOrder="2"/>
    </xf>
    <xf numFmtId="0" fontId="83" fillId="2" borderId="71" xfId="36" applyFont="1" applyFill="1" applyBorder="1" applyAlignment="1">
      <alignment horizontal="center" vertical="center" wrapText="1" readingOrder="2"/>
    </xf>
    <xf numFmtId="0" fontId="83" fillId="2" borderId="75" xfId="36" applyFont="1" applyFill="1" applyBorder="1" applyAlignment="1">
      <alignment horizontal="center" vertical="center" wrapText="1" readingOrder="2"/>
    </xf>
    <xf numFmtId="0" fontId="83" fillId="2" borderId="59" xfId="36" applyFont="1" applyFill="1" applyBorder="1" applyAlignment="1">
      <alignment horizontal="center" vertical="center" wrapText="1" readingOrder="2"/>
    </xf>
    <xf numFmtId="0" fontId="105" fillId="2" borderId="122" xfId="36" applyFont="1" applyFill="1" applyBorder="1" applyAlignment="1">
      <alignment horizontal="center" vertical="center" wrapText="1" readingOrder="2"/>
    </xf>
    <xf numFmtId="0" fontId="105" fillId="2" borderId="77" xfId="36" applyFont="1" applyFill="1" applyBorder="1" applyAlignment="1">
      <alignment horizontal="center" vertical="center" wrapText="1" readingOrder="2"/>
    </xf>
    <xf numFmtId="0" fontId="105" fillId="2" borderId="121" xfId="36" applyFont="1" applyFill="1" applyBorder="1" applyAlignment="1">
      <alignment horizontal="center" vertical="center" wrapText="1" readingOrder="2"/>
    </xf>
    <xf numFmtId="0" fontId="105" fillId="2" borderId="124" xfId="36" applyFont="1" applyFill="1" applyBorder="1" applyAlignment="1">
      <alignment horizontal="center" vertical="center" wrapText="1" readingOrder="2"/>
    </xf>
    <xf numFmtId="0" fontId="105" fillId="2" borderId="21" xfId="36" applyFont="1" applyFill="1" applyBorder="1" applyAlignment="1">
      <alignment horizontal="center" vertical="center" wrapText="1" readingOrder="2"/>
    </xf>
    <xf numFmtId="0" fontId="105" fillId="2" borderId="123" xfId="36" applyFont="1" applyFill="1" applyBorder="1" applyAlignment="1">
      <alignment horizontal="center" vertical="center" wrapText="1" readingOrder="2"/>
    </xf>
    <xf numFmtId="0" fontId="49" fillId="2" borderId="112" xfId="36" applyFont="1" applyFill="1" applyBorder="1" applyAlignment="1">
      <alignment horizontal="center" vertical="center" textRotation="90" wrapText="1" readingOrder="2"/>
    </xf>
    <xf numFmtId="0" fontId="49" fillId="2" borderId="118" xfId="36" applyFont="1" applyFill="1" applyBorder="1" applyAlignment="1">
      <alignment horizontal="center" vertical="center" textRotation="90" wrapText="1" readingOrder="2"/>
    </xf>
    <xf numFmtId="0" fontId="49" fillId="2" borderId="73" xfId="36" applyFont="1" applyFill="1" applyBorder="1" applyAlignment="1">
      <alignment horizontal="center" vertical="center" textRotation="90" wrapText="1" readingOrder="2"/>
    </xf>
    <xf numFmtId="0" fontId="49" fillId="2" borderId="36" xfId="36" applyFont="1" applyFill="1" applyBorder="1" applyAlignment="1">
      <alignment horizontal="center" vertical="center" textRotation="90" wrapText="1" readingOrder="2"/>
    </xf>
    <xf numFmtId="0" fontId="49" fillId="2" borderId="110" xfId="36" applyFont="1" applyFill="1" applyBorder="1" applyAlignment="1">
      <alignment horizontal="center" vertical="center" textRotation="90" wrapText="1" readingOrder="2"/>
    </xf>
    <xf numFmtId="0" fontId="49" fillId="2" borderId="116" xfId="36" applyFont="1" applyFill="1" applyBorder="1" applyAlignment="1">
      <alignment horizontal="center" vertical="center" textRotation="90" wrapText="1" readingOrder="2"/>
    </xf>
    <xf numFmtId="0" fontId="49" fillId="2" borderId="65" xfId="36" applyFont="1" applyFill="1" applyBorder="1" applyAlignment="1">
      <alignment horizontal="center" vertical="center" textRotation="90" wrapText="1" readingOrder="2"/>
    </xf>
    <xf numFmtId="0" fontId="49" fillId="2" borderId="26" xfId="36" applyFont="1" applyFill="1" applyBorder="1" applyAlignment="1">
      <alignment horizontal="center" vertical="center" textRotation="90" wrapText="1" readingOrder="2"/>
    </xf>
    <xf numFmtId="0" fontId="49" fillId="2" borderId="0" xfId="36" applyFont="1" applyFill="1" applyBorder="1" applyAlignment="1">
      <alignment horizontal="center" vertical="center" textRotation="90" wrapText="1" readingOrder="2"/>
    </xf>
    <xf numFmtId="0" fontId="49" fillId="2" borderId="1" xfId="36" applyFont="1" applyFill="1" applyBorder="1" applyAlignment="1">
      <alignment horizontal="center" vertical="center" textRotation="90" wrapText="1" readingOrder="2"/>
    </xf>
    <xf numFmtId="0" fontId="49" fillId="2" borderId="119" xfId="36" applyFont="1" applyFill="1" applyBorder="1" applyAlignment="1">
      <alignment horizontal="center" vertical="center" textRotation="90" wrapText="1" readingOrder="2"/>
    </xf>
    <xf numFmtId="0" fontId="104" fillId="2" borderId="98" xfId="36" applyFont="1" applyFill="1" applyBorder="1" applyAlignment="1">
      <alignment horizontal="center" vertical="center" wrapText="1" readingOrder="2"/>
    </xf>
    <xf numFmtId="0" fontId="104" fillId="2" borderId="97" xfId="36" applyFont="1" applyFill="1" applyBorder="1" applyAlignment="1">
      <alignment horizontal="center" vertical="center" wrapText="1" readingOrder="2"/>
    </xf>
    <xf numFmtId="0" fontId="81" fillId="2" borderId="94" xfId="36" applyFont="1" applyFill="1" applyBorder="1" applyAlignment="1">
      <alignment horizontal="center" vertical="center" wrapText="1" readingOrder="2"/>
    </xf>
    <xf numFmtId="0" fontId="81" fillId="2" borderId="90" xfId="36" applyFont="1" applyFill="1" applyBorder="1" applyAlignment="1">
      <alignment horizontal="center" vertical="center" wrapText="1" readingOrder="2"/>
    </xf>
    <xf numFmtId="0" fontId="80" fillId="2" borderId="93" xfId="36" applyFont="1" applyFill="1" applyBorder="1" applyAlignment="1">
      <alignment horizontal="center" vertical="center" wrapText="1" readingOrder="2"/>
    </xf>
    <xf numFmtId="0" fontId="80" fillId="2" borderId="59" xfId="36" applyFont="1" applyFill="1" applyBorder="1" applyAlignment="1">
      <alignment horizontal="center" vertical="center" wrapText="1" readingOrder="2"/>
    </xf>
    <xf numFmtId="0" fontId="104" fillId="2" borderId="68" xfId="36" applyFont="1" applyFill="1" applyBorder="1" applyAlignment="1">
      <alignment horizontal="center" vertical="center" wrapText="1" readingOrder="2"/>
    </xf>
    <xf numFmtId="0" fontId="104" fillId="2" borderId="60" xfId="36" applyFont="1" applyFill="1" applyBorder="1" applyAlignment="1">
      <alignment horizontal="center" vertical="center" wrapText="1" readingOrder="2"/>
    </xf>
    <xf numFmtId="0" fontId="80" fillId="2" borderId="92" xfId="36" applyFont="1" applyFill="1" applyBorder="1" applyAlignment="1">
      <alignment horizontal="center" vertical="center" wrapText="1" readingOrder="2"/>
    </xf>
    <xf numFmtId="0" fontId="80" fillId="2" borderId="60" xfId="36" applyFont="1" applyFill="1" applyBorder="1" applyAlignment="1">
      <alignment horizontal="center" vertical="center" wrapText="1" readingOrder="2"/>
    </xf>
    <xf numFmtId="0" fontId="80" fillId="2" borderId="91" xfId="36" applyFont="1" applyFill="1" applyBorder="1" applyAlignment="1">
      <alignment horizontal="center" vertical="center" wrapText="1" readingOrder="2"/>
    </xf>
    <xf numFmtId="0" fontId="81" fillId="2" borderId="92" xfId="36" applyFont="1" applyFill="1" applyBorder="1" applyAlignment="1">
      <alignment horizontal="center" vertical="center" wrapText="1" readingOrder="2"/>
    </xf>
    <xf numFmtId="0" fontId="81" fillId="2" borderId="60" xfId="36" applyFont="1" applyFill="1" applyBorder="1" applyAlignment="1">
      <alignment horizontal="center" vertical="center" wrapText="1" readingOrder="2"/>
    </xf>
    <xf numFmtId="0" fontId="81" fillId="2" borderId="91" xfId="36" applyFont="1" applyFill="1" applyBorder="1" applyAlignment="1">
      <alignment horizontal="center" vertical="center" wrapText="1" readingOrder="2"/>
    </xf>
    <xf numFmtId="0" fontId="83" fillId="2" borderId="41" xfId="36" applyFont="1" applyFill="1" applyBorder="1" applyAlignment="1">
      <alignment horizontal="center" vertical="center"/>
    </xf>
    <xf numFmtId="0" fontId="83" fillId="2" borderId="5" xfId="36" applyFont="1" applyFill="1" applyBorder="1" applyAlignment="1">
      <alignment horizontal="center" vertical="center"/>
    </xf>
    <xf numFmtId="0" fontId="83" fillId="2" borderId="6" xfId="36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vertical="center" wrapText="1"/>
    </xf>
    <xf numFmtId="0" fontId="18" fillId="0" borderId="0" xfId="1" applyFont="1" applyFill="1" applyAlignment="1">
      <alignment horizontal="right" vertical="center" wrapText="1"/>
    </xf>
    <xf numFmtId="0" fontId="98" fillId="2" borderId="68" xfId="36" applyFont="1" applyFill="1" applyBorder="1" applyAlignment="1">
      <alignment horizontal="center" vertical="center" wrapText="1"/>
    </xf>
    <xf numFmtId="0" fontId="98" fillId="2" borderId="60" xfId="36" applyFont="1" applyFill="1" applyBorder="1" applyAlignment="1">
      <alignment horizontal="center" vertical="center" wrapText="1"/>
    </xf>
    <xf numFmtId="0" fontId="80" fillId="2" borderId="71" xfId="36" applyFont="1" applyFill="1" applyBorder="1" applyAlignment="1">
      <alignment horizontal="center" vertical="center" wrapText="1" readingOrder="2"/>
    </xf>
    <xf numFmtId="0" fontId="80" fillId="2" borderId="75" xfId="36" applyFont="1" applyFill="1" applyBorder="1" applyAlignment="1">
      <alignment horizontal="center" vertical="center" wrapText="1" readingOrder="2"/>
    </xf>
    <xf numFmtId="0" fontId="99" fillId="2" borderId="68" xfId="36" applyFont="1" applyFill="1" applyBorder="1" applyAlignment="1">
      <alignment horizontal="center" vertical="center" wrapText="1"/>
    </xf>
    <xf numFmtId="0" fontId="99" fillId="2" borderId="60" xfId="36" applyFont="1" applyFill="1" applyBorder="1" applyAlignment="1">
      <alignment horizontal="center" vertical="center" wrapText="1"/>
    </xf>
    <xf numFmtId="0" fontId="98" fillId="2" borderId="41" xfId="36" applyFont="1" applyFill="1" applyBorder="1" applyAlignment="1">
      <alignment horizontal="center" vertical="center"/>
    </xf>
    <xf numFmtId="0" fontId="98" fillId="2" borderId="5" xfId="36" applyFont="1" applyFill="1" applyBorder="1" applyAlignment="1">
      <alignment horizontal="center" vertical="center"/>
    </xf>
    <xf numFmtId="0" fontId="98" fillId="2" borderId="6" xfId="36" applyFont="1" applyFill="1" applyBorder="1" applyAlignment="1">
      <alignment horizontal="center" vertical="center"/>
    </xf>
    <xf numFmtId="0" fontId="98" fillId="2" borderId="119" xfId="36" applyFont="1" applyFill="1" applyBorder="1" applyAlignment="1">
      <alignment horizontal="center" vertical="center" textRotation="90" wrapText="1" readingOrder="2"/>
    </xf>
    <xf numFmtId="0" fontId="98" fillId="2" borderId="116" xfId="36" applyFont="1" applyFill="1" applyBorder="1" applyAlignment="1">
      <alignment horizontal="center" vertical="center" textRotation="90" wrapText="1" readingOrder="2"/>
    </xf>
    <xf numFmtId="0" fontId="98" fillId="2" borderId="65" xfId="36" applyFont="1" applyFill="1" applyBorder="1" applyAlignment="1">
      <alignment horizontal="center" vertical="center" textRotation="90" wrapText="1" readingOrder="2"/>
    </xf>
    <xf numFmtId="0" fontId="98" fillId="2" borderId="26" xfId="36" applyFont="1" applyFill="1" applyBorder="1" applyAlignment="1">
      <alignment horizontal="center" vertical="center" textRotation="90" wrapText="1" readingOrder="2"/>
    </xf>
    <xf numFmtId="0" fontId="106" fillId="2" borderId="121" xfId="36" applyFont="1" applyFill="1" applyBorder="1" applyAlignment="1">
      <alignment horizontal="center" vertical="center" wrapText="1" readingOrder="2"/>
    </xf>
    <xf numFmtId="0" fontId="106" fillId="2" borderId="124" xfId="36" applyFont="1" applyFill="1" applyBorder="1" applyAlignment="1">
      <alignment horizontal="center" vertical="center" wrapText="1" readingOrder="2"/>
    </xf>
    <xf numFmtId="0" fontId="106" fillId="2" borderId="21" xfId="36" applyFont="1" applyFill="1" applyBorder="1" applyAlignment="1">
      <alignment horizontal="center" vertical="center" wrapText="1" readingOrder="2"/>
    </xf>
    <xf numFmtId="0" fontId="106" fillId="2" borderId="123" xfId="36" applyFont="1" applyFill="1" applyBorder="1" applyAlignment="1">
      <alignment horizontal="center" vertical="center" wrapText="1" readingOrder="2"/>
    </xf>
    <xf numFmtId="0" fontId="98" fillId="2" borderId="112" xfId="36" applyFont="1" applyFill="1" applyBorder="1" applyAlignment="1">
      <alignment horizontal="center" vertical="center" textRotation="90" wrapText="1" readingOrder="2"/>
    </xf>
    <xf numFmtId="0" fontId="98" fillId="2" borderId="118" xfId="36" applyFont="1" applyFill="1" applyBorder="1" applyAlignment="1">
      <alignment horizontal="center" vertical="center" textRotation="90" wrapText="1" readingOrder="2"/>
    </xf>
    <xf numFmtId="0" fontId="98" fillId="2" borderId="73" xfId="36" applyFont="1" applyFill="1" applyBorder="1" applyAlignment="1">
      <alignment horizontal="center" vertical="center" textRotation="90" wrapText="1" readingOrder="2"/>
    </xf>
    <xf numFmtId="0" fontId="98" fillId="2" borderId="36" xfId="36" applyFont="1" applyFill="1" applyBorder="1" applyAlignment="1">
      <alignment horizontal="center" vertical="center" textRotation="90" wrapText="1" readingOrder="2"/>
    </xf>
    <xf numFmtId="0" fontId="98" fillId="2" borderId="110" xfId="36" applyFont="1" applyFill="1" applyBorder="1" applyAlignment="1">
      <alignment horizontal="center" vertical="center" textRotation="90" wrapText="1" readingOrder="2"/>
    </xf>
    <xf numFmtId="0" fontId="98" fillId="2" borderId="0" xfId="36" applyFont="1" applyFill="1" applyBorder="1" applyAlignment="1">
      <alignment horizontal="center" vertical="center" textRotation="90" wrapText="1" readingOrder="2"/>
    </xf>
    <xf numFmtId="0" fontId="98" fillId="2" borderId="1" xfId="36" applyFont="1" applyFill="1" applyBorder="1" applyAlignment="1">
      <alignment horizontal="center" vertical="center" textRotation="90" wrapText="1" readingOrder="2"/>
    </xf>
    <xf numFmtId="0" fontId="83" fillId="2" borderId="68" xfId="36" applyFont="1" applyFill="1" applyBorder="1" applyAlignment="1">
      <alignment horizontal="center" vertical="center"/>
    </xf>
    <xf numFmtId="0" fontId="83" fillId="2" borderId="60" xfId="36" applyFont="1" applyFill="1" applyBorder="1" applyAlignment="1">
      <alignment horizontal="center" vertical="center"/>
    </xf>
    <xf numFmtId="0" fontId="83" fillId="2" borderId="58" xfId="36" applyFont="1" applyFill="1" applyBorder="1" applyAlignment="1">
      <alignment horizontal="center" vertical="center"/>
    </xf>
    <xf numFmtId="0" fontId="98" fillId="0" borderId="68" xfId="96" applyFont="1" applyBorder="1" applyAlignment="1">
      <alignment horizontal="center" vertical="center" wrapText="1"/>
    </xf>
    <xf numFmtId="0" fontId="98" fillId="0" borderId="60" xfId="96" applyFont="1" applyBorder="1" applyAlignment="1">
      <alignment horizontal="center" vertical="center" wrapText="1"/>
    </xf>
    <xf numFmtId="0" fontId="98" fillId="0" borderId="91" xfId="96" applyFont="1" applyBorder="1" applyAlignment="1">
      <alignment horizontal="center" vertical="center" wrapText="1"/>
    </xf>
    <xf numFmtId="0" fontId="81" fillId="0" borderId="233" xfId="96" applyFont="1" applyBorder="1" applyAlignment="1">
      <alignment horizontal="center" vertical="center" wrapText="1" readingOrder="2"/>
    </xf>
    <xf numFmtId="0" fontId="81" fillId="0" borderId="234" xfId="96" applyFont="1" applyBorder="1" applyAlignment="1">
      <alignment horizontal="center" vertical="center" wrapText="1" readingOrder="2"/>
    </xf>
    <xf numFmtId="0" fontId="81" fillId="0" borderId="90" xfId="96" applyFont="1" applyBorder="1" applyAlignment="1">
      <alignment horizontal="center" vertical="center" wrapText="1" readingOrder="2"/>
    </xf>
    <xf numFmtId="0" fontId="99" fillId="0" borderId="68" xfId="96" applyFont="1" applyBorder="1" applyAlignment="1">
      <alignment horizontal="center" vertical="center" wrapText="1"/>
    </xf>
    <xf numFmtId="0" fontId="99" fillId="0" borderId="60" xfId="96" applyFont="1" applyBorder="1" applyAlignment="1">
      <alignment horizontal="center" vertical="center" wrapText="1"/>
    </xf>
    <xf numFmtId="0" fontId="99" fillId="0" borderId="91" xfId="96" applyFont="1" applyBorder="1" applyAlignment="1">
      <alignment horizontal="center" vertical="center" wrapText="1"/>
    </xf>
    <xf numFmtId="0" fontId="45" fillId="0" borderId="0" xfId="98" applyFont="1" applyFill="1" applyBorder="1" applyAlignment="1">
      <alignment horizontal="center" vertical="center" readingOrder="2"/>
    </xf>
    <xf numFmtId="0" fontId="49" fillId="2" borderId="235" xfId="35" applyFont="1" applyFill="1" applyBorder="1" applyAlignment="1">
      <alignment horizontal="center" vertical="center" wrapText="1" shrinkToFit="1" readingOrder="2"/>
    </xf>
    <xf numFmtId="0" fontId="49" fillId="2" borderId="236" xfId="35" applyFont="1" applyFill="1" applyBorder="1" applyAlignment="1">
      <alignment horizontal="center" vertical="center" wrapText="1" shrinkToFit="1" readingOrder="2"/>
    </xf>
    <xf numFmtId="0" fontId="49" fillId="2" borderId="39" xfId="35" applyFont="1" applyFill="1" applyBorder="1" applyAlignment="1">
      <alignment horizontal="center" vertical="center" readingOrder="2"/>
    </xf>
    <xf numFmtId="0" fontId="49" fillId="2" borderId="36" xfId="35" applyFont="1" applyFill="1" applyBorder="1" applyAlignment="1">
      <alignment horizontal="center" vertical="center" readingOrder="2"/>
    </xf>
    <xf numFmtId="0" fontId="49" fillId="2" borderId="4" xfId="35" applyFont="1" applyFill="1" applyBorder="1" applyAlignment="1">
      <alignment horizontal="center" vertical="center" readingOrder="2"/>
    </xf>
    <xf numFmtId="0" fontId="49" fillId="2" borderId="35" xfId="35" applyFont="1" applyFill="1" applyBorder="1" applyAlignment="1">
      <alignment horizontal="center" vertical="center" readingOrder="2"/>
    </xf>
    <xf numFmtId="0" fontId="49" fillId="2" borderId="71" xfId="35" applyFont="1" applyFill="1" applyBorder="1" applyAlignment="1">
      <alignment horizontal="center" vertical="center" readingOrder="2"/>
    </xf>
    <xf numFmtId="0" fontId="49" fillId="2" borderId="59" xfId="35" applyFont="1" applyFill="1" applyBorder="1" applyAlignment="1">
      <alignment horizontal="center" vertical="center"/>
    </xf>
    <xf numFmtId="0" fontId="17" fillId="0" borderId="0" xfId="43" applyFont="1" applyFill="1" applyBorder="1" applyAlignment="1">
      <alignment horizontal="right" vertical="center" readingOrder="2"/>
    </xf>
    <xf numFmtId="0" fontId="10" fillId="0" borderId="15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vertical="center"/>
    </xf>
    <xf numFmtId="0" fontId="41" fillId="0" borderId="8" xfId="5" applyFont="1" applyFill="1" applyBorder="1" applyAlignment="1">
      <alignment horizontal="center" vertical="center"/>
    </xf>
    <xf numFmtId="0" fontId="13" fillId="0" borderId="11" xfId="5" applyFont="1" applyFill="1" applyBorder="1" applyAlignment="1">
      <alignment vertical="center"/>
    </xf>
    <xf numFmtId="0" fontId="41" fillId="0" borderId="15" xfId="5" applyFont="1" applyFill="1" applyBorder="1" applyAlignment="1">
      <alignment horizontal="center" vertical="center"/>
    </xf>
    <xf numFmtId="0" fontId="13" fillId="0" borderId="18" xfId="5" applyFont="1" applyFill="1" applyBorder="1" applyAlignment="1">
      <alignment vertical="center"/>
    </xf>
    <xf numFmtId="0" fontId="41" fillId="2" borderId="15" xfId="5" applyFont="1" applyFill="1" applyBorder="1" applyAlignment="1">
      <alignment horizontal="center" vertical="center"/>
    </xf>
    <xf numFmtId="0" fontId="13" fillId="2" borderId="18" xfId="5" applyFont="1" applyFill="1" applyBorder="1" applyAlignment="1">
      <alignment vertical="center"/>
    </xf>
    <xf numFmtId="0" fontId="107" fillId="2" borderId="0" xfId="5" applyFont="1" applyFill="1" applyAlignment="1">
      <alignment horizontal="center" readingOrder="2"/>
    </xf>
    <xf numFmtId="0" fontId="47" fillId="4" borderId="0" xfId="5" applyFont="1" applyFill="1" applyAlignment="1">
      <alignment horizontal="center" vertical="center"/>
    </xf>
    <xf numFmtId="0" fontId="10" fillId="2" borderId="15" xfId="5" applyFont="1" applyFill="1" applyBorder="1" applyAlignment="1">
      <alignment horizontal="center" vertical="center"/>
    </xf>
    <xf numFmtId="0" fontId="10" fillId="2" borderId="18" xfId="5" applyFont="1" applyFill="1" applyBorder="1" applyAlignment="1">
      <alignment horizontal="center" vertical="center"/>
    </xf>
    <xf numFmtId="0" fontId="7" fillId="2" borderId="0" xfId="5" applyFont="1" applyFill="1" applyAlignment="1">
      <alignment horizontal="right" vertical="center"/>
    </xf>
    <xf numFmtId="0" fontId="13" fillId="0" borderId="17" xfId="5" applyFont="1" applyFill="1" applyBorder="1" applyAlignment="1">
      <alignment vertical="center"/>
    </xf>
    <xf numFmtId="0" fontId="23" fillId="0" borderId="2" xfId="5" applyFont="1" applyFill="1" applyBorder="1" applyAlignment="1">
      <alignment horizontal="center" vertical="center" wrapText="1"/>
    </xf>
    <xf numFmtId="0" fontId="23" fillId="0" borderId="69" xfId="5" applyFont="1" applyFill="1" applyBorder="1" applyAlignment="1">
      <alignment horizontal="center" vertical="center" wrapText="1"/>
    </xf>
    <xf numFmtId="0" fontId="23" fillId="0" borderId="25" xfId="5" applyFont="1" applyFill="1" applyBorder="1" applyAlignment="1">
      <alignment horizontal="center" vertical="center" wrapText="1"/>
    </xf>
    <xf numFmtId="0" fontId="23" fillId="0" borderId="88" xfId="5" applyFont="1" applyFill="1" applyBorder="1" applyAlignment="1">
      <alignment horizontal="center" vertical="center" wrapText="1"/>
    </xf>
    <xf numFmtId="0" fontId="23" fillId="2" borderId="71" xfId="5" applyFont="1" applyFill="1" applyBorder="1" applyAlignment="1">
      <alignment horizontal="center" vertical="center" wrapText="1"/>
    </xf>
    <xf numFmtId="0" fontId="23" fillId="2" borderId="59" xfId="5" applyFont="1" applyFill="1" applyBorder="1" applyAlignment="1">
      <alignment horizontal="center" vertical="center" wrapText="1"/>
    </xf>
    <xf numFmtId="0" fontId="23" fillId="0" borderId="3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vertical="center"/>
    </xf>
    <xf numFmtId="0" fontId="7" fillId="0" borderId="17" xfId="5" applyFont="1" applyFill="1" applyBorder="1" applyAlignment="1">
      <alignment vertical="center"/>
    </xf>
    <xf numFmtId="0" fontId="41" fillId="0" borderId="20" xfId="5" applyFont="1" applyFill="1" applyBorder="1" applyAlignment="1">
      <alignment horizontal="center" vertical="center"/>
    </xf>
    <xf numFmtId="0" fontId="41" fillId="0" borderId="45" xfId="5" applyFont="1" applyFill="1" applyBorder="1" applyAlignment="1">
      <alignment horizontal="center" vertical="center"/>
    </xf>
    <xf numFmtId="0" fontId="13" fillId="2" borderId="17" xfId="5" applyFont="1" applyFill="1" applyBorder="1" applyAlignment="1">
      <alignment vertical="center"/>
    </xf>
    <xf numFmtId="0" fontId="10" fillId="2" borderId="53" xfId="5" applyFont="1" applyFill="1" applyBorder="1" applyAlignment="1">
      <alignment horizontal="center" vertical="center"/>
    </xf>
    <xf numFmtId="0" fontId="10" fillId="2" borderId="34" xfId="5" applyFont="1" applyFill="1" applyBorder="1" applyAlignment="1">
      <alignment horizontal="center" vertical="center"/>
    </xf>
    <xf numFmtId="0" fontId="10" fillId="0" borderId="71" xfId="5" applyFont="1" applyFill="1" applyBorder="1" applyAlignment="1">
      <alignment horizontal="center" vertical="center"/>
    </xf>
    <xf numFmtId="0" fontId="10" fillId="0" borderId="75" xfId="5" applyFont="1" applyFill="1" applyBorder="1" applyAlignment="1">
      <alignment horizontal="center" vertical="center"/>
    </xf>
    <xf numFmtId="0" fontId="10" fillId="0" borderId="59" xfId="5" applyFont="1" applyFill="1" applyBorder="1" applyAlignment="1">
      <alignment horizontal="center" vertical="center"/>
    </xf>
    <xf numFmtId="1" fontId="10" fillId="0" borderId="68" xfId="5" applyNumberFormat="1" applyFont="1" applyFill="1" applyBorder="1" applyAlignment="1">
      <alignment horizontal="center" vertical="center"/>
    </xf>
    <xf numFmtId="1" fontId="10" fillId="0" borderId="58" xfId="5" applyNumberFormat="1" applyFont="1" applyFill="1" applyBorder="1" applyAlignment="1">
      <alignment horizontal="center" vertical="center"/>
    </xf>
    <xf numFmtId="0" fontId="12" fillId="2" borderId="0" xfId="5" applyFont="1" applyFill="1" applyAlignment="1">
      <alignment horizontal="right" readingOrder="2"/>
    </xf>
    <xf numFmtId="0" fontId="34" fillId="0" borderId="0" xfId="1" applyFont="1" applyAlignment="1">
      <alignment horizontal="right"/>
    </xf>
    <xf numFmtId="0" fontId="6" fillId="0" borderId="0" xfId="1" applyAlignment="1">
      <alignment horizontal="center"/>
    </xf>
    <xf numFmtId="0" fontId="6" fillId="0" borderId="77" xfId="1" applyBorder="1" applyAlignment="1">
      <alignment horizontal="center"/>
    </xf>
    <xf numFmtId="0" fontId="6" fillId="0" borderId="0" xfId="1" applyBorder="1" applyAlignment="1">
      <alignment horizontal="center"/>
    </xf>
    <xf numFmtId="0" fontId="26" fillId="0" borderId="0" xfId="38" applyFont="1" applyFill="1" applyBorder="1" applyAlignment="1">
      <alignment horizontal="center" vertical="center"/>
    </xf>
    <xf numFmtId="0" fontId="29" fillId="0" borderId="1" xfId="38" applyFont="1" applyFill="1" applyBorder="1" applyAlignment="1">
      <alignment horizontal="left" vertical="center"/>
    </xf>
    <xf numFmtId="0" fontId="29" fillId="0" borderId="0" xfId="38" applyFont="1" applyFill="1" applyBorder="1" applyAlignment="1">
      <alignment horizontal="left" vertical="center"/>
    </xf>
    <xf numFmtId="0" fontId="10" fillId="21" borderId="2" xfId="38" applyFont="1" applyFill="1" applyBorder="1" applyAlignment="1">
      <alignment horizontal="center" vertical="center" wrapText="1"/>
    </xf>
    <xf numFmtId="0" fontId="10" fillId="21" borderId="25" xfId="38" applyFont="1" applyFill="1" applyBorder="1" applyAlignment="1">
      <alignment horizontal="center" vertical="center" wrapText="1"/>
    </xf>
    <xf numFmtId="0" fontId="10" fillId="21" borderId="142" xfId="38" applyFont="1" applyFill="1" applyBorder="1" applyAlignment="1">
      <alignment horizontal="center" vertical="center" textRotation="90" wrapText="1"/>
    </xf>
    <xf numFmtId="0" fontId="10" fillId="21" borderId="140" xfId="38" applyFont="1" applyFill="1" applyBorder="1" applyAlignment="1">
      <alignment horizontal="center" vertical="center" textRotation="90" wrapText="1"/>
    </xf>
    <xf numFmtId="0" fontId="10" fillId="21" borderId="139" xfId="38" applyFont="1" applyFill="1" applyBorder="1" applyAlignment="1">
      <alignment horizontal="center" vertical="center" wrapText="1"/>
    </xf>
    <xf numFmtId="0" fontId="10" fillId="21" borderId="39" xfId="38" applyFont="1" applyFill="1" applyBorder="1" applyAlignment="1">
      <alignment horizontal="center" vertical="center" wrapText="1"/>
    </xf>
    <xf numFmtId="0" fontId="10" fillId="21" borderId="141" xfId="38" applyFont="1" applyFill="1" applyBorder="1" applyAlignment="1">
      <alignment horizontal="center" vertical="center" wrapText="1"/>
    </xf>
    <xf numFmtId="0" fontId="10" fillId="21" borderId="139" xfId="38" applyFont="1" applyFill="1" applyBorder="1" applyAlignment="1">
      <alignment horizontal="center" vertical="center" textRotation="90" wrapText="1"/>
    </xf>
    <xf numFmtId="0" fontId="10" fillId="21" borderId="117" xfId="38" applyFont="1" applyFill="1" applyBorder="1" applyAlignment="1">
      <alignment horizontal="center" vertical="center" textRotation="90" wrapText="1"/>
    </xf>
    <xf numFmtId="0" fontId="10" fillId="21" borderId="39" xfId="38" applyFont="1" applyFill="1" applyBorder="1" applyAlignment="1">
      <alignment horizontal="center" vertical="center" textRotation="90" wrapText="1"/>
    </xf>
    <xf numFmtId="0" fontId="10" fillId="21" borderId="36" xfId="38" applyFont="1" applyFill="1" applyBorder="1" applyAlignment="1">
      <alignment horizontal="center" vertical="center" textRotation="90" wrapText="1"/>
    </xf>
    <xf numFmtId="0" fontId="10" fillId="21" borderId="4" xfId="38" applyFont="1" applyFill="1" applyBorder="1" applyAlignment="1">
      <alignment horizontal="center" vertical="center" textRotation="90" wrapText="1"/>
    </xf>
    <xf numFmtId="0" fontId="10" fillId="21" borderId="35" xfId="38" applyFont="1" applyFill="1" applyBorder="1" applyAlignment="1">
      <alignment horizontal="center" vertical="center" textRotation="90" wrapText="1"/>
    </xf>
    <xf numFmtId="0" fontId="10" fillId="21" borderId="74" xfId="38" applyFont="1" applyFill="1" applyBorder="1" applyAlignment="1">
      <alignment horizontal="center" vertical="center"/>
    </xf>
    <xf numFmtId="0" fontId="10" fillId="21" borderId="20" xfId="38" applyFont="1" applyFill="1" applyBorder="1" applyAlignment="1">
      <alignment horizontal="center" vertical="center"/>
    </xf>
    <xf numFmtId="0" fontId="10" fillId="21" borderId="23" xfId="38" applyFont="1" applyFill="1" applyBorder="1" applyAlignment="1">
      <alignment horizontal="center" vertical="center"/>
    </xf>
    <xf numFmtId="3" fontId="12" fillId="0" borderId="4" xfId="39" applyNumberFormat="1" applyFont="1" applyFill="1" applyBorder="1" applyAlignment="1">
      <alignment horizontal="center" vertical="center"/>
    </xf>
    <xf numFmtId="3" fontId="12" fillId="0" borderId="61" xfId="39" applyNumberFormat="1" applyFont="1" applyFill="1" applyBorder="1" applyAlignment="1">
      <alignment horizontal="center" vertical="center"/>
    </xf>
    <xf numFmtId="0" fontId="10" fillId="21" borderId="2" xfId="38" applyFont="1" applyFill="1" applyBorder="1" applyAlignment="1">
      <alignment horizontal="center" vertical="center"/>
    </xf>
    <xf numFmtId="0" fontId="10" fillId="21" borderId="25" xfId="38" applyFont="1" applyFill="1" applyBorder="1" applyAlignment="1">
      <alignment horizontal="center" vertical="center"/>
    </xf>
    <xf numFmtId="3" fontId="12" fillId="0" borderId="139" xfId="38" applyNumberFormat="1" applyFont="1" applyFill="1" applyBorder="1" applyAlignment="1">
      <alignment horizontal="center" vertical="center"/>
    </xf>
    <xf numFmtId="3" fontId="12" fillId="0" borderId="117" xfId="38" applyNumberFormat="1" applyFont="1" applyFill="1" applyBorder="1" applyAlignment="1">
      <alignment horizontal="center" vertical="center"/>
    </xf>
    <xf numFmtId="3" fontId="12" fillId="2" borderId="39" xfId="38" applyNumberFormat="1" applyFont="1" applyFill="1" applyBorder="1" applyAlignment="1">
      <alignment horizontal="center" vertical="center"/>
    </xf>
    <xf numFmtId="3" fontId="12" fillId="2" borderId="36" xfId="38" applyNumberFormat="1" applyFont="1" applyFill="1" applyBorder="1" applyAlignment="1">
      <alignment horizontal="center" vertical="center"/>
    </xf>
    <xf numFmtId="3" fontId="12" fillId="0" borderId="35" xfId="39" applyNumberFormat="1" applyFont="1" applyFill="1" applyBorder="1" applyAlignment="1">
      <alignment horizontal="center" vertical="center"/>
    </xf>
    <xf numFmtId="0" fontId="10" fillId="21" borderId="66" xfId="38" applyFont="1" applyFill="1" applyBorder="1" applyAlignment="1">
      <alignment horizontal="center" vertical="center"/>
    </xf>
    <xf numFmtId="0" fontId="10" fillId="21" borderId="68" xfId="38" applyFont="1" applyFill="1" applyBorder="1" applyAlignment="1">
      <alignment horizontal="center" vertical="center"/>
    </xf>
    <xf numFmtId="0" fontId="10" fillId="21" borderId="60" xfId="38" applyFont="1" applyFill="1" applyBorder="1" applyAlignment="1">
      <alignment horizontal="center" vertical="center"/>
    </xf>
    <xf numFmtId="0" fontId="7" fillId="0" borderId="3" xfId="38" applyFont="1" applyFill="1" applyBorder="1" applyAlignment="1">
      <alignment horizontal="right" vertical="center"/>
    </xf>
    <xf numFmtId="0" fontId="7" fillId="0" borderId="0" xfId="38" applyFont="1" applyFill="1" applyBorder="1" applyAlignment="1">
      <alignment horizontal="right" vertical="center"/>
    </xf>
    <xf numFmtId="0" fontId="10" fillId="21" borderId="47" xfId="38" applyFont="1" applyFill="1" applyBorder="1" applyAlignment="1">
      <alignment horizontal="center" vertical="center"/>
    </xf>
    <xf numFmtId="3" fontId="12" fillId="0" borderId="111" xfId="38" applyNumberFormat="1" applyFont="1" applyFill="1" applyBorder="1" applyAlignment="1">
      <alignment horizontal="center" vertical="center"/>
    </xf>
    <xf numFmtId="3" fontId="12" fillId="0" borderId="136" xfId="38" applyNumberFormat="1" applyFont="1" applyFill="1" applyBorder="1" applyAlignment="1">
      <alignment horizontal="center" vertical="center"/>
    </xf>
    <xf numFmtId="3" fontId="12" fillId="2" borderId="73" xfId="38" applyNumberFormat="1" applyFont="1" applyFill="1" applyBorder="1" applyAlignment="1">
      <alignment horizontal="center" vertical="center"/>
    </xf>
    <xf numFmtId="3" fontId="12" fillId="2" borderId="12" xfId="38" applyNumberFormat="1" applyFont="1" applyFill="1" applyBorder="1" applyAlignment="1">
      <alignment horizontal="center" vertical="center"/>
    </xf>
    <xf numFmtId="0" fontId="10" fillId="21" borderId="46" xfId="38" applyFont="1" applyFill="1" applyBorder="1" applyAlignment="1">
      <alignment horizontal="center" vertical="center"/>
    </xf>
    <xf numFmtId="3" fontId="12" fillId="23" borderId="40" xfId="38" applyNumberFormat="1" applyFont="1" applyFill="1" applyBorder="1" applyAlignment="1">
      <alignment horizontal="center" vertical="center"/>
    </xf>
    <xf numFmtId="0" fontId="6" fillId="23" borderId="135" xfId="1" applyFill="1" applyBorder="1" applyAlignment="1">
      <alignment horizontal="center" vertical="center"/>
    </xf>
    <xf numFmtId="0" fontId="6" fillId="23" borderId="42" xfId="1" applyFill="1" applyBorder="1" applyAlignment="1">
      <alignment horizontal="center" vertical="center"/>
    </xf>
    <xf numFmtId="0" fontId="6" fillId="23" borderId="134" xfId="1" applyFill="1" applyBorder="1" applyAlignment="1">
      <alignment horizontal="center" vertical="center"/>
    </xf>
    <xf numFmtId="0" fontId="6" fillId="23" borderId="37" xfId="1" applyFill="1" applyBorder="1" applyAlignment="1">
      <alignment horizontal="center" vertical="center"/>
    </xf>
    <xf numFmtId="0" fontId="6" fillId="23" borderId="95" xfId="1" applyFill="1" applyBorder="1" applyAlignment="1">
      <alignment horizontal="center" vertical="center"/>
    </xf>
    <xf numFmtId="3" fontId="18" fillId="0" borderId="4" xfId="38" applyNumberFormat="1" applyFont="1" applyFill="1" applyBorder="1" applyAlignment="1">
      <alignment horizontal="center" vertical="center"/>
    </xf>
    <xf numFmtId="3" fontId="18" fillId="0" borderId="61" xfId="38" applyNumberFormat="1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46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2" borderId="74" xfId="5" applyFont="1" applyFill="1" applyBorder="1" applyAlignment="1">
      <alignment horizontal="center" vertical="center" wrapText="1"/>
    </xf>
    <xf numFmtId="0" fontId="10" fillId="2" borderId="76" xfId="5" applyFont="1" applyFill="1" applyBorder="1" applyAlignment="1">
      <alignment horizontal="center" vertical="center" wrapText="1"/>
    </xf>
    <xf numFmtId="0" fontId="10" fillId="2" borderId="86" xfId="5" applyFont="1" applyFill="1" applyBorder="1" applyAlignment="1">
      <alignment horizontal="center" vertical="center" wrapText="1"/>
    </xf>
    <xf numFmtId="0" fontId="10" fillId="2" borderId="74" xfId="1" applyFont="1" applyFill="1" applyBorder="1" applyAlignment="1">
      <alignment horizontal="center" vertical="center" wrapText="1"/>
    </xf>
    <xf numFmtId="0" fontId="10" fillId="2" borderId="86" xfId="1" applyFont="1" applyFill="1" applyBorder="1" applyAlignment="1">
      <alignment horizontal="center" vertical="center" wrapText="1"/>
    </xf>
    <xf numFmtId="0" fontId="10" fillId="0" borderId="62" xfId="1" applyFont="1" applyFill="1" applyBorder="1" applyAlignment="1">
      <alignment horizontal="center" vertical="center" textRotation="90" wrapText="1"/>
    </xf>
    <xf numFmtId="0" fontId="10" fillId="0" borderId="26" xfId="1" applyFont="1" applyFill="1" applyBorder="1" applyAlignment="1">
      <alignment horizontal="center" vertical="center" textRotation="90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76" xfId="1" applyFont="1" applyFill="1" applyBorder="1" applyAlignment="1">
      <alignment horizontal="center" vertical="center" wrapText="1"/>
    </xf>
    <xf numFmtId="0" fontId="10" fillId="2" borderId="71" xfId="1" applyFont="1" applyFill="1" applyBorder="1" applyAlignment="1">
      <alignment horizontal="center" vertical="center" textRotation="90" wrapText="1"/>
    </xf>
    <xf numFmtId="0" fontId="10" fillId="2" borderId="59" xfId="1" applyFont="1" applyFill="1" applyBorder="1" applyAlignment="1">
      <alignment horizontal="center" vertical="center" textRotation="90" wrapText="1"/>
    </xf>
    <xf numFmtId="0" fontId="10" fillId="0" borderId="46" xfId="5" applyFont="1" applyFill="1" applyBorder="1" applyAlignment="1">
      <alignment horizontal="center" vertical="center" readingOrder="2"/>
    </xf>
    <xf numFmtId="0" fontId="10" fillId="0" borderId="51" xfId="5" applyFont="1" applyFill="1" applyBorder="1" applyAlignment="1">
      <alignment horizontal="center" vertical="center" readingOrder="2"/>
    </xf>
    <xf numFmtId="0" fontId="120" fillId="0" borderId="68" xfId="5" applyFont="1" applyFill="1" applyBorder="1" applyAlignment="1">
      <alignment horizontal="center" vertical="center"/>
    </xf>
    <xf numFmtId="0" fontId="120" fillId="0" borderId="6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right" vertical="center" wrapText="1" readingOrder="2"/>
    </xf>
    <xf numFmtId="0" fontId="140" fillId="25" borderId="8" xfId="46" applyFont="1" applyFill="1" applyBorder="1" applyAlignment="1">
      <alignment horizontal="center" vertical="center"/>
    </xf>
    <xf numFmtId="0" fontId="140" fillId="25" borderId="53" xfId="46" applyFont="1" applyFill="1" applyBorder="1" applyAlignment="1">
      <alignment horizontal="center" vertical="center"/>
    </xf>
    <xf numFmtId="0" fontId="140" fillId="25" borderId="9" xfId="46" applyFont="1" applyFill="1" applyBorder="1" applyAlignment="1">
      <alignment horizontal="center" vertical="center"/>
    </xf>
    <xf numFmtId="0" fontId="140" fillId="25" borderId="29" xfId="46" applyFont="1" applyFill="1" applyBorder="1" applyAlignment="1">
      <alignment horizontal="center" vertical="center"/>
    </xf>
    <xf numFmtId="0" fontId="140" fillId="25" borderId="11" xfId="46" applyFont="1" applyFill="1" applyBorder="1" applyAlignment="1">
      <alignment horizontal="center" vertical="center" wrapText="1"/>
    </xf>
    <xf numFmtId="0" fontId="140" fillId="25" borderId="28" xfId="46" applyFont="1" applyFill="1" applyBorder="1" applyAlignment="1">
      <alignment horizontal="center" vertical="center" wrapText="1"/>
    </xf>
    <xf numFmtId="0" fontId="23" fillId="0" borderId="0" xfId="5" applyFont="1" applyFill="1" applyBorder="1" applyAlignment="1">
      <alignment horizontal="right" vertical="center" wrapText="1" readingOrder="2"/>
    </xf>
    <xf numFmtId="0" fontId="139" fillId="0" borderId="0" xfId="47" applyFont="1" applyAlignment="1">
      <alignment horizontal="right" vertical="center" wrapText="1" readingOrder="2"/>
    </xf>
    <xf numFmtId="0" fontId="145" fillId="0" borderId="0" xfId="47" applyFont="1" applyAlignment="1">
      <alignment horizontal="right" vertical="center" wrapText="1"/>
    </xf>
    <xf numFmtId="0" fontId="63" fillId="0" borderId="1" xfId="48" applyFont="1" applyFill="1" applyBorder="1" applyAlignment="1">
      <alignment horizontal="center" vertical="center"/>
    </xf>
    <xf numFmtId="0" fontId="11" fillId="14" borderId="2" xfId="48" applyFont="1" applyFill="1" applyBorder="1" applyAlignment="1">
      <alignment horizontal="center" vertical="center"/>
    </xf>
    <xf numFmtId="0" fontId="11" fillId="14" borderId="25" xfId="48" applyFont="1" applyFill="1" applyBorder="1" applyAlignment="1">
      <alignment horizontal="center" vertical="center"/>
    </xf>
    <xf numFmtId="0" fontId="11" fillId="14" borderId="4" xfId="48" applyFont="1" applyFill="1" applyBorder="1" applyAlignment="1">
      <alignment horizontal="center" vertical="center" textRotation="90"/>
    </xf>
    <xf numFmtId="0" fontId="11" fillId="14" borderId="37" xfId="48" applyFont="1" applyFill="1" applyBorder="1" applyAlignment="1">
      <alignment horizontal="center" vertical="center" textRotation="90"/>
    </xf>
    <xf numFmtId="0" fontId="11" fillId="14" borderId="3" xfId="48" applyFont="1" applyFill="1" applyBorder="1" applyAlignment="1">
      <alignment horizontal="center" vertical="center"/>
    </xf>
    <xf numFmtId="0" fontId="11" fillId="14" borderId="69" xfId="48" applyFont="1" applyFill="1" applyBorder="1" applyAlignment="1">
      <alignment horizontal="center" vertical="center"/>
    </xf>
    <xf numFmtId="0" fontId="11" fillId="14" borderId="38" xfId="48" applyFont="1" applyFill="1" applyBorder="1" applyAlignment="1">
      <alignment horizontal="center" vertical="center" textRotation="90"/>
    </xf>
    <xf numFmtId="0" fontId="11" fillId="14" borderId="26" xfId="48" applyFont="1" applyFill="1" applyBorder="1" applyAlignment="1">
      <alignment horizontal="center" vertical="center" textRotation="90"/>
    </xf>
    <xf numFmtId="0" fontId="11" fillId="14" borderId="9" xfId="48" applyFont="1" applyFill="1" applyBorder="1" applyAlignment="1">
      <alignment horizontal="center" vertical="center"/>
    </xf>
    <xf numFmtId="0" fontId="11" fillId="14" borderId="35" xfId="48" applyFont="1" applyFill="1" applyBorder="1" applyAlignment="1">
      <alignment horizontal="center" vertical="center" textRotation="90"/>
    </xf>
    <xf numFmtId="0" fontId="11" fillId="14" borderId="23" xfId="48" applyFont="1" applyFill="1" applyBorder="1" applyAlignment="1">
      <alignment horizontal="right" vertical="center"/>
    </xf>
    <xf numFmtId="0" fontId="11" fillId="14" borderId="47" xfId="48" applyFont="1" applyFill="1" applyBorder="1" applyAlignment="1">
      <alignment horizontal="right" vertical="center"/>
    </xf>
    <xf numFmtId="0" fontId="11" fillId="0" borderId="0" xfId="48" applyFont="1" applyFill="1" applyBorder="1" applyAlignment="1">
      <alignment horizontal="right" vertical="center"/>
    </xf>
    <xf numFmtId="0" fontId="7" fillId="0" borderId="0" xfId="48" applyFont="1" applyFill="1" applyAlignment="1">
      <alignment horizontal="center"/>
    </xf>
    <xf numFmtId="0" fontId="11" fillId="0" borderId="0" xfId="48" applyFont="1" applyFill="1" applyBorder="1" applyAlignment="1">
      <alignment horizontal="center" vertical="center"/>
    </xf>
    <xf numFmtId="0" fontId="11" fillId="14" borderId="2" xfId="48" applyFont="1" applyFill="1" applyBorder="1" applyAlignment="1">
      <alignment horizontal="right" vertical="center"/>
    </xf>
    <xf numFmtId="0" fontId="11" fillId="14" borderId="46" xfId="48" applyFont="1" applyFill="1" applyBorder="1" applyAlignment="1">
      <alignment horizontal="right" vertical="center"/>
    </xf>
    <xf numFmtId="0" fontId="11" fillId="2" borderId="0" xfId="48" applyFont="1" applyFill="1" applyBorder="1" applyAlignment="1">
      <alignment horizontal="right" vertical="center"/>
    </xf>
    <xf numFmtId="0" fontId="11" fillId="14" borderId="32" xfId="48" applyFont="1" applyFill="1" applyBorder="1" applyAlignment="1">
      <alignment horizontal="right" vertical="center"/>
    </xf>
    <xf numFmtId="0" fontId="11" fillId="14" borderId="48" xfId="48" applyFont="1" applyFill="1" applyBorder="1" applyAlignment="1">
      <alignment horizontal="right" vertical="center"/>
    </xf>
    <xf numFmtId="0" fontId="11" fillId="0" borderId="46" xfId="48" applyFont="1" applyFill="1" applyBorder="1" applyAlignment="1">
      <alignment horizontal="right" vertical="center"/>
    </xf>
    <xf numFmtId="0" fontId="148" fillId="14" borderId="23" xfId="48" applyFont="1" applyFill="1" applyBorder="1" applyAlignment="1">
      <alignment vertical="center"/>
    </xf>
    <xf numFmtId="0" fontId="148" fillId="14" borderId="47" xfId="48" applyFont="1" applyFill="1" applyBorder="1" applyAlignment="1">
      <alignment vertical="center"/>
    </xf>
    <xf numFmtId="0" fontId="148" fillId="14" borderId="46" xfId="48" applyFont="1" applyFill="1" applyBorder="1" applyAlignment="1">
      <alignment vertical="center"/>
    </xf>
    <xf numFmtId="0" fontId="11" fillId="14" borderId="43" xfId="48" applyFont="1" applyFill="1" applyBorder="1" applyAlignment="1">
      <alignment horizontal="right" vertical="center"/>
    </xf>
    <xf numFmtId="0" fontId="11" fillId="0" borderId="46" xfId="48" applyFont="1" applyFill="1" applyBorder="1" applyAlignment="1">
      <alignment horizontal="center" vertical="center"/>
    </xf>
    <xf numFmtId="0" fontId="11" fillId="14" borderId="25" xfId="48" applyFont="1" applyFill="1" applyBorder="1" applyAlignment="1">
      <alignment horizontal="right" vertical="center"/>
    </xf>
    <xf numFmtId="0" fontId="44" fillId="14" borderId="72" xfId="48" applyFont="1" applyFill="1" applyBorder="1" applyAlignment="1">
      <alignment horizontal="right" vertical="center"/>
    </xf>
    <xf numFmtId="0" fontId="151" fillId="0" borderId="0" xfId="48" applyFont="1" applyFill="1" applyBorder="1" applyAlignment="1">
      <alignment horizontal="center" textRotation="90"/>
    </xf>
    <xf numFmtId="0" fontId="11" fillId="14" borderId="46" xfId="48" applyFont="1" applyFill="1" applyBorder="1" applyAlignment="1">
      <alignment horizontal="right" vertical="center" wrapText="1"/>
    </xf>
    <xf numFmtId="0" fontId="11" fillId="14" borderId="47" xfId="48" applyFont="1" applyFill="1" applyBorder="1" applyAlignment="1">
      <alignment horizontal="right" vertical="center" wrapText="1"/>
    </xf>
    <xf numFmtId="0" fontId="11" fillId="0" borderId="46" xfId="48" applyFont="1" applyFill="1" applyBorder="1" applyAlignment="1">
      <alignment horizontal="center" vertical="center" wrapText="1"/>
    </xf>
    <xf numFmtId="0" fontId="11" fillId="14" borderId="74" xfId="48" applyFont="1" applyFill="1" applyBorder="1" applyAlignment="1">
      <alignment horizontal="right" vertical="center"/>
    </xf>
    <xf numFmtId="0" fontId="11" fillId="14" borderId="66" xfId="48" applyFont="1" applyFill="1" applyBorder="1" applyAlignment="1">
      <alignment horizontal="right" vertical="center"/>
    </xf>
    <xf numFmtId="0" fontId="11" fillId="14" borderId="23" xfId="48" applyFont="1" applyFill="1" applyBorder="1" applyAlignment="1">
      <alignment horizontal="center" vertical="center"/>
    </xf>
    <xf numFmtId="0" fontId="11" fillId="14" borderId="47" xfId="48" applyFont="1" applyFill="1" applyBorder="1" applyAlignment="1">
      <alignment horizontal="center" vertical="center"/>
    </xf>
    <xf numFmtId="0" fontId="11" fillId="14" borderId="37" xfId="48" applyFont="1" applyFill="1" applyBorder="1" applyAlignment="1"/>
    <xf numFmtId="0" fontId="152" fillId="0" borderId="0" xfId="48" applyFont="1" applyFill="1" applyAlignment="1">
      <alignment horizontal="right"/>
    </xf>
    <xf numFmtId="0" fontId="11" fillId="14" borderId="74" xfId="48" applyFont="1" applyFill="1" applyBorder="1" applyAlignment="1">
      <alignment horizontal="center" vertical="center"/>
    </xf>
    <xf numFmtId="0" fontId="11" fillId="14" borderId="76" xfId="48" applyFont="1" applyFill="1" applyBorder="1" applyAlignment="1">
      <alignment horizontal="center" vertical="center"/>
    </xf>
    <xf numFmtId="0" fontId="11" fillId="14" borderId="86" xfId="48" applyFont="1" applyFill="1" applyBorder="1" applyAlignment="1">
      <alignment horizontal="center" vertical="center"/>
    </xf>
    <xf numFmtId="0" fontId="11" fillId="14" borderId="46" xfId="48" applyFont="1" applyFill="1" applyBorder="1" applyAlignment="1">
      <alignment horizontal="center" vertical="center"/>
    </xf>
    <xf numFmtId="0" fontId="11" fillId="14" borderId="20" xfId="48" applyFont="1" applyFill="1" applyBorder="1" applyAlignment="1">
      <alignment horizontal="center" vertical="center"/>
    </xf>
    <xf numFmtId="0" fontId="11" fillId="0" borderId="11" xfId="48" applyFont="1" applyFill="1" applyBorder="1" applyAlignment="1">
      <alignment horizontal="center" vertical="center" textRotation="90"/>
    </xf>
    <xf numFmtId="0" fontId="11" fillId="0" borderId="31" xfId="48" applyFont="1" applyFill="1" applyBorder="1" applyAlignment="1">
      <alignment horizontal="center" vertical="center" textRotation="90"/>
    </xf>
    <xf numFmtId="0" fontId="11" fillId="14" borderId="68" xfId="48" applyFont="1" applyFill="1" applyBorder="1" applyAlignment="1">
      <alignment horizontal="center" vertical="center"/>
    </xf>
    <xf numFmtId="0" fontId="11" fillId="14" borderId="58" xfId="48" applyFont="1" applyFill="1" applyBorder="1" applyAlignment="1">
      <alignment horizontal="center"/>
    </xf>
    <xf numFmtId="0" fontId="7" fillId="0" borderId="3" xfId="48" applyFont="1" applyFill="1" applyBorder="1" applyAlignment="1">
      <alignment horizontal="center"/>
    </xf>
    <xf numFmtId="0" fontId="11" fillId="0" borderId="2" xfId="48" applyFont="1" applyFill="1" applyBorder="1" applyAlignment="1">
      <alignment horizontal="right" vertical="center"/>
    </xf>
    <xf numFmtId="0" fontId="11" fillId="0" borderId="23" xfId="48" applyFont="1" applyFill="1" applyBorder="1" applyAlignment="1">
      <alignment horizontal="right" vertical="center"/>
    </xf>
    <xf numFmtId="0" fontId="11" fillId="0" borderId="47" xfId="48" applyFont="1" applyFill="1" applyBorder="1" applyAlignment="1">
      <alignment horizontal="right" vertical="center"/>
    </xf>
    <xf numFmtId="0" fontId="11" fillId="2" borderId="74" xfId="48" applyFont="1" applyFill="1" applyBorder="1" applyAlignment="1">
      <alignment horizontal="right" vertical="center"/>
    </xf>
    <xf numFmtId="0" fontId="11" fillId="2" borderId="66" xfId="48" applyFont="1" applyFill="1" applyBorder="1" applyAlignment="1">
      <alignment horizontal="right" vertical="center"/>
    </xf>
    <xf numFmtId="0" fontId="154" fillId="2" borderId="43" xfId="48" applyFont="1" applyFill="1" applyBorder="1" applyAlignment="1">
      <alignment horizontal="right" vertical="center"/>
    </xf>
    <xf numFmtId="0" fontId="154" fillId="2" borderId="37" xfId="48" applyFont="1" applyFill="1" applyBorder="1" applyAlignment="1"/>
    <xf numFmtId="0" fontId="21" fillId="0" borderId="0" xfId="48" applyFont="1" applyFill="1" applyAlignment="1">
      <alignment horizontal="right"/>
    </xf>
    <xf numFmtId="0" fontId="11" fillId="0" borderId="2" xfId="48" applyFont="1" applyFill="1" applyBorder="1" applyAlignment="1">
      <alignment horizontal="center" vertical="center"/>
    </xf>
    <xf numFmtId="0" fontId="11" fillId="0" borderId="25" xfId="48" applyFont="1" applyFill="1" applyBorder="1" applyAlignment="1">
      <alignment horizontal="center" vertical="center"/>
    </xf>
    <xf numFmtId="0" fontId="11" fillId="0" borderId="4" xfId="48" applyFont="1" applyFill="1" applyBorder="1" applyAlignment="1">
      <alignment horizontal="center" vertical="center" textRotation="90"/>
    </xf>
    <xf numFmtId="0" fontId="11" fillId="0" borderId="35" xfId="48" applyFont="1" applyFill="1" applyBorder="1" applyAlignment="1">
      <alignment horizontal="center" vertical="center" textRotation="90"/>
    </xf>
    <xf numFmtId="0" fontId="11" fillId="0" borderId="3" xfId="48" applyFont="1" applyFill="1" applyBorder="1" applyAlignment="1">
      <alignment horizontal="center" vertical="center"/>
    </xf>
    <xf numFmtId="0" fontId="11" fillId="0" borderId="69" xfId="48" applyFont="1" applyFill="1" applyBorder="1" applyAlignment="1">
      <alignment horizontal="center" vertical="center"/>
    </xf>
    <xf numFmtId="0" fontId="11" fillId="0" borderId="40" xfId="48" applyFont="1" applyFill="1" applyBorder="1" applyAlignment="1">
      <alignment horizontal="center" vertical="center" textRotation="90"/>
    </xf>
    <xf numFmtId="0" fontId="11" fillId="0" borderId="42" xfId="48" applyFont="1" applyFill="1" applyBorder="1" applyAlignment="1">
      <alignment horizontal="center" vertical="center" textRotation="90"/>
    </xf>
    <xf numFmtId="0" fontId="11" fillId="0" borderId="9" xfId="48" applyFont="1" applyFill="1" applyBorder="1" applyAlignment="1">
      <alignment horizontal="center" vertical="center"/>
    </xf>
    <xf numFmtId="0" fontId="10" fillId="0" borderId="2" xfId="48" applyFont="1" applyFill="1" applyBorder="1" applyAlignment="1">
      <alignment horizontal="center" vertical="center"/>
    </xf>
    <xf numFmtId="0" fontId="10" fillId="0" borderId="3" xfId="48" applyFont="1" applyFill="1" applyBorder="1" applyAlignment="1">
      <alignment horizontal="center" vertical="center"/>
    </xf>
    <xf numFmtId="0" fontId="10" fillId="0" borderId="69" xfId="48" applyFont="1" applyFill="1" applyBorder="1" applyAlignment="1">
      <alignment horizontal="center" vertical="center"/>
    </xf>
    <xf numFmtId="0" fontId="12" fillId="0" borderId="2" xfId="48" applyFont="1" applyFill="1" applyBorder="1" applyAlignment="1">
      <alignment horizontal="center" vertical="center"/>
    </xf>
    <xf numFmtId="0" fontId="12" fillId="0" borderId="3" xfId="48" applyFont="1" applyFill="1" applyBorder="1" applyAlignment="1">
      <alignment horizontal="center" vertical="center"/>
    </xf>
    <xf numFmtId="0" fontId="12" fillId="0" borderId="40" xfId="48" applyFont="1" applyFill="1" applyBorder="1" applyAlignment="1">
      <alignment horizontal="center" vertical="center"/>
    </xf>
    <xf numFmtId="0" fontId="47" fillId="0" borderId="2" xfId="48" applyFont="1" applyFill="1" applyBorder="1" applyAlignment="1">
      <alignment horizontal="center" vertical="center"/>
    </xf>
    <xf numFmtId="0" fontId="47" fillId="0" borderId="62" xfId="48" applyFont="1" applyFill="1" applyBorder="1" applyAlignment="1">
      <alignment horizontal="center" vertical="center"/>
    </xf>
    <xf numFmtId="0" fontId="7" fillId="0" borderId="3" xfId="48" applyFont="1" applyFill="1" applyBorder="1" applyAlignment="1">
      <alignment horizontal="center" vertical="center"/>
    </xf>
    <xf numFmtId="0" fontId="7" fillId="0" borderId="69" xfId="48" applyFont="1" applyFill="1" applyBorder="1" applyAlignment="1">
      <alignment horizontal="center" vertical="center"/>
    </xf>
    <xf numFmtId="174" fontId="18" fillId="0" borderId="46" xfId="48" applyNumberFormat="1" applyFont="1" applyFill="1" applyBorder="1" applyAlignment="1">
      <alignment horizontal="center" vertical="center"/>
    </xf>
    <xf numFmtId="174" fontId="18" fillId="0" borderId="51" xfId="48" applyNumberFormat="1" applyFont="1" applyFill="1" applyBorder="1" applyAlignment="1">
      <alignment horizontal="center" vertical="center"/>
    </xf>
    <xf numFmtId="0" fontId="63" fillId="0" borderId="1" xfId="48" applyFont="1" applyFill="1" applyBorder="1" applyAlignment="1">
      <alignment horizontal="center"/>
    </xf>
    <xf numFmtId="0" fontId="10" fillId="0" borderId="25" xfId="48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/>
    </xf>
    <xf numFmtId="0" fontId="10" fillId="0" borderId="88" xfId="48" applyFont="1" applyFill="1" applyBorder="1" applyAlignment="1">
      <alignment horizontal="center" vertical="center"/>
    </xf>
    <xf numFmtId="0" fontId="10" fillId="0" borderId="76" xfId="48" applyFont="1" applyFill="1" applyBorder="1" applyAlignment="1">
      <alignment horizontal="center" vertical="center"/>
    </xf>
    <xf numFmtId="0" fontId="10" fillId="0" borderId="86" xfId="48" applyFont="1" applyFill="1" applyBorder="1" applyAlignment="1">
      <alignment horizontal="center" vertical="center"/>
    </xf>
    <xf numFmtId="0" fontId="10" fillId="0" borderId="66" xfId="48" applyFont="1" applyFill="1" applyBorder="1" applyAlignment="1">
      <alignment horizontal="center" vertical="center"/>
    </xf>
    <xf numFmtId="0" fontId="10" fillId="0" borderId="64" xfId="48" applyFont="1" applyFill="1" applyBorder="1" applyAlignment="1">
      <alignment horizontal="center" vertical="center"/>
    </xf>
    <xf numFmtId="0" fontId="10" fillId="0" borderId="27" xfId="48" applyFont="1" applyFill="1" applyBorder="1" applyAlignment="1">
      <alignment horizontal="center" vertical="center"/>
    </xf>
    <xf numFmtId="0" fontId="10" fillId="0" borderId="54" xfId="48" applyFont="1" applyFill="1" applyBorder="1" applyAlignment="1">
      <alignment horizontal="center" vertical="center"/>
    </xf>
    <xf numFmtId="0" fontId="10" fillId="0" borderId="46" xfId="48" applyFont="1" applyFill="1" applyBorder="1" applyAlignment="1">
      <alignment horizontal="center" vertical="center"/>
    </xf>
    <xf numFmtId="0" fontId="10" fillId="0" borderId="0" xfId="48" applyFont="1" applyFill="1" applyBorder="1" applyAlignment="1">
      <alignment horizontal="center" vertical="center"/>
    </xf>
    <xf numFmtId="0" fontId="10" fillId="0" borderId="51" xfId="48" applyFont="1" applyFill="1" applyBorder="1" applyAlignment="1">
      <alignment horizontal="center" vertical="center"/>
    </xf>
    <xf numFmtId="0" fontId="18" fillId="0" borderId="46" xfId="48" applyFont="1" applyFill="1" applyBorder="1" applyAlignment="1">
      <alignment horizontal="center" vertical="center"/>
    </xf>
    <xf numFmtId="0" fontId="18" fillId="0" borderId="0" xfId="48" applyFont="1" applyFill="1" applyBorder="1" applyAlignment="1">
      <alignment horizontal="center" vertical="center"/>
    </xf>
    <xf numFmtId="0" fontId="18" fillId="0" borderId="42" xfId="48" applyFont="1" applyFill="1" applyBorder="1" applyAlignment="1">
      <alignment horizontal="center" vertical="center"/>
    </xf>
    <xf numFmtId="0" fontId="47" fillId="0" borderId="46" xfId="48" applyFont="1" applyFill="1" applyBorder="1" applyAlignment="1">
      <alignment horizontal="center" vertical="center"/>
    </xf>
    <xf numFmtId="0" fontId="47" fillId="0" borderId="65" xfId="48" applyFont="1" applyFill="1" applyBorder="1" applyAlignment="1">
      <alignment horizontal="center" vertical="center"/>
    </xf>
    <xf numFmtId="0" fontId="18" fillId="0" borderId="51" xfId="48" applyFont="1" applyFill="1" applyBorder="1" applyAlignment="1">
      <alignment horizontal="center" vertical="center"/>
    </xf>
    <xf numFmtId="0" fontId="7" fillId="0" borderId="46" xfId="48" applyFont="1" applyFill="1" applyBorder="1" applyAlignment="1">
      <alignment horizontal="center" vertical="center"/>
    </xf>
    <xf numFmtId="0" fontId="7" fillId="0" borderId="65" xfId="48" applyFont="1" applyFill="1" applyBorder="1" applyAlignment="1">
      <alignment horizontal="center" vertical="center"/>
    </xf>
    <xf numFmtId="0" fontId="10" fillId="0" borderId="68" xfId="48" applyFont="1" applyFill="1" applyBorder="1" applyAlignment="1">
      <alignment horizontal="center" vertical="center"/>
    </xf>
    <xf numFmtId="0" fontId="10" fillId="0" borderId="60" xfId="48" applyFont="1" applyFill="1" applyBorder="1" applyAlignment="1">
      <alignment horizontal="center" vertical="center"/>
    </xf>
    <xf numFmtId="0" fontId="10" fillId="0" borderId="58" xfId="48" applyFont="1" applyFill="1" applyBorder="1" applyAlignment="1">
      <alignment horizontal="center" vertical="center"/>
    </xf>
    <xf numFmtId="0" fontId="18" fillId="0" borderId="68" xfId="48" applyFont="1" applyFill="1" applyBorder="1" applyAlignment="1">
      <alignment horizontal="center" vertical="center"/>
    </xf>
    <xf numFmtId="0" fontId="18" fillId="0" borderId="60" xfId="48" applyFont="1" applyFill="1" applyBorder="1" applyAlignment="1">
      <alignment horizontal="center" vertical="center"/>
    </xf>
    <xf numFmtId="0" fontId="18" fillId="0" borderId="6" xfId="48" applyFont="1" applyFill="1" applyBorder="1" applyAlignment="1">
      <alignment horizontal="center" vertical="center"/>
    </xf>
    <xf numFmtId="0" fontId="18" fillId="0" borderId="58" xfId="48" applyFont="1" applyFill="1" applyBorder="1" applyAlignment="1">
      <alignment horizontal="center" vertical="center"/>
    </xf>
    <xf numFmtId="0" fontId="47" fillId="0" borderId="68" xfId="48" applyFont="1" applyFill="1" applyBorder="1" applyAlignment="1">
      <alignment horizontal="center" vertical="center"/>
    </xf>
    <xf numFmtId="0" fontId="47" fillId="0" borderId="57" xfId="48" applyFont="1" applyFill="1" applyBorder="1" applyAlignment="1">
      <alignment horizontal="center" vertical="center"/>
    </xf>
    <xf numFmtId="174" fontId="18" fillId="0" borderId="68" xfId="48" applyNumberFormat="1" applyFont="1" applyFill="1" applyBorder="1" applyAlignment="1">
      <alignment horizontal="center" vertical="center"/>
    </xf>
    <xf numFmtId="174" fontId="18" fillId="0" borderId="58" xfId="48" applyNumberFormat="1" applyFont="1" applyFill="1" applyBorder="1" applyAlignment="1">
      <alignment horizontal="center" vertical="center"/>
    </xf>
    <xf numFmtId="0" fontId="47" fillId="0" borderId="0" xfId="48" applyFont="1" applyFill="1" applyBorder="1" applyAlignment="1">
      <alignment horizontal="center" vertical="center"/>
    </xf>
    <xf numFmtId="0" fontId="18" fillId="0" borderId="37" xfId="48" applyFont="1" applyFill="1" applyBorder="1" applyAlignment="1">
      <alignment horizontal="center" vertical="center"/>
    </xf>
    <xf numFmtId="0" fontId="18" fillId="0" borderId="1" xfId="48" applyFont="1" applyFill="1" applyBorder="1" applyAlignment="1">
      <alignment horizontal="center" vertical="center"/>
    </xf>
    <xf numFmtId="0" fontId="47" fillId="0" borderId="25" xfId="48" applyFont="1" applyFill="1" applyBorder="1" applyAlignment="1">
      <alignment horizontal="center" vertical="center"/>
    </xf>
    <xf numFmtId="0" fontId="47" fillId="0" borderId="26" xfId="48" applyFont="1" applyFill="1" applyBorder="1" applyAlignment="1">
      <alignment horizontal="center" vertical="center"/>
    </xf>
    <xf numFmtId="0" fontId="18" fillId="0" borderId="88" xfId="48" applyFont="1" applyFill="1" applyBorder="1" applyAlignment="1">
      <alignment horizontal="center" vertical="center"/>
    </xf>
    <xf numFmtId="0" fontId="26" fillId="0" borderId="0" xfId="103" applyFont="1" applyFill="1" applyBorder="1" applyAlignment="1">
      <alignment horizontal="center" vertical="center"/>
    </xf>
    <xf numFmtId="0" fontId="23" fillId="14" borderId="8" xfId="103" applyFont="1" applyFill="1" applyBorder="1" applyAlignment="1">
      <alignment horizontal="center" vertical="center" wrapText="1"/>
    </xf>
    <xf numFmtId="0" fontId="23" fillId="14" borderId="32" xfId="103" applyFont="1" applyFill="1" applyBorder="1" applyAlignment="1">
      <alignment horizontal="center" vertical="center" wrapText="1"/>
    </xf>
    <xf numFmtId="0" fontId="23" fillId="14" borderId="9" xfId="103" applyFont="1" applyFill="1" applyBorder="1" applyAlignment="1">
      <alignment horizontal="center" vertical="center" wrapText="1"/>
    </xf>
    <xf numFmtId="0" fontId="23" fillId="14" borderId="10" xfId="103" applyFont="1" applyFill="1" applyBorder="1" applyAlignment="1">
      <alignment horizontal="center" vertical="center" wrapText="1"/>
    </xf>
    <xf numFmtId="0" fontId="23" fillId="14" borderId="11" xfId="103" applyFont="1" applyFill="1" applyBorder="1" applyAlignment="1">
      <alignment horizontal="center" vertical="center" wrapText="1"/>
    </xf>
    <xf numFmtId="0" fontId="7" fillId="0" borderId="0" xfId="103" applyFont="1" applyFill="1" applyBorder="1" applyAlignment="1">
      <alignment horizontal="right" vertical="center"/>
    </xf>
    <xf numFmtId="0" fontId="72" fillId="0" borderId="0" xfId="103" applyFont="1" applyFill="1" applyAlignment="1">
      <alignment horizontal="center"/>
    </xf>
    <xf numFmtId="0" fontId="16" fillId="0" borderId="9" xfId="103" applyFont="1" applyFill="1" applyBorder="1" applyAlignment="1">
      <alignment horizontal="center" vertical="center"/>
    </xf>
    <xf numFmtId="0" fontId="11" fillId="0" borderId="10" xfId="103" applyFont="1" applyFill="1" applyBorder="1" applyAlignment="1">
      <alignment horizontal="center" vertical="center" wrapText="1"/>
    </xf>
    <xf numFmtId="0" fontId="11" fillId="0" borderId="63" xfId="103" applyFont="1" applyFill="1" applyBorder="1" applyAlignment="1">
      <alignment horizontal="center" vertical="center" wrapText="1"/>
    </xf>
    <xf numFmtId="0" fontId="16" fillId="0" borderId="11" xfId="103" applyFont="1" applyFill="1" applyBorder="1" applyAlignment="1">
      <alignment horizontal="center" vertical="center"/>
    </xf>
    <xf numFmtId="0" fontId="7" fillId="0" borderId="3" xfId="103" applyFont="1" applyFill="1" applyBorder="1" applyAlignment="1">
      <alignment horizontal="right" vertical="center" readingOrder="2"/>
    </xf>
    <xf numFmtId="0" fontId="11" fillId="0" borderId="0" xfId="103" applyFont="1" applyFill="1" applyAlignment="1">
      <alignment horizontal="right"/>
    </xf>
    <xf numFmtId="0" fontId="12" fillId="0" borderId="33" xfId="103" applyFont="1" applyFill="1" applyBorder="1" applyAlignment="1">
      <alignment horizontal="center" vertical="center"/>
    </xf>
    <xf numFmtId="0" fontId="12" fillId="0" borderId="31" xfId="103" applyFont="1" applyFill="1" applyBorder="1" applyAlignment="1">
      <alignment horizontal="center" vertical="center"/>
    </xf>
    <xf numFmtId="0" fontId="12" fillId="0" borderId="41" xfId="103" applyFont="1" applyFill="1" applyBorder="1" applyAlignment="1">
      <alignment horizontal="center" vertical="center"/>
    </xf>
    <xf numFmtId="0" fontId="12" fillId="0" borderId="5" xfId="103" applyFont="1" applyFill="1" applyBorder="1" applyAlignment="1">
      <alignment horizontal="center" vertical="center"/>
    </xf>
    <xf numFmtId="0" fontId="12" fillId="0" borderId="7" xfId="103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45" fillId="0" borderId="9" xfId="1" applyFont="1" applyFill="1" applyBorder="1" applyAlignment="1">
      <alignment horizontal="center" vertical="center"/>
    </xf>
    <xf numFmtId="0" fontId="45" fillId="0" borderId="11" xfId="1" applyFont="1" applyFill="1" applyBorder="1" applyAlignment="1">
      <alignment horizontal="center" vertical="center"/>
    </xf>
    <xf numFmtId="0" fontId="62" fillId="0" borderId="15" xfId="1" applyFont="1" applyFill="1" applyBorder="1" applyAlignment="1">
      <alignment horizontal="left" vertical="center"/>
    </xf>
    <xf numFmtId="0" fontId="62" fillId="0" borderId="16" xfId="1" applyFont="1" applyFill="1" applyBorder="1" applyAlignment="1">
      <alignment horizontal="left" vertical="center"/>
    </xf>
    <xf numFmtId="0" fontId="62" fillId="0" borderId="18" xfId="1" applyFont="1" applyFill="1" applyBorder="1" applyAlignment="1">
      <alignment horizontal="left" vertical="center"/>
    </xf>
    <xf numFmtId="0" fontId="23" fillId="0" borderId="15" xfId="1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center" vertical="center"/>
    </xf>
    <xf numFmtId="0" fontId="23" fillId="0" borderId="18" xfId="1" applyFont="1" applyFill="1" applyBorder="1" applyAlignment="1">
      <alignment horizontal="center" vertical="center"/>
    </xf>
    <xf numFmtId="0" fontId="63" fillId="0" borderId="0" xfId="1" applyFont="1" applyFill="1" applyAlignment="1">
      <alignment horizontal="center" vertical="center"/>
    </xf>
    <xf numFmtId="0" fontId="29" fillId="0" borderId="0" xfId="1" applyFont="1" applyFill="1" applyAlignment="1">
      <alignment horizontal="center" vertical="center"/>
    </xf>
    <xf numFmtId="0" fontId="29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26" fillId="0" borderId="2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23" fillId="14" borderId="16" xfId="1" applyFont="1" applyFill="1" applyBorder="1" applyAlignment="1">
      <alignment horizontal="center" vertical="center"/>
    </xf>
    <xf numFmtId="0" fontId="209" fillId="0" borderId="8" xfId="101" applyFont="1" applyBorder="1" applyAlignment="1">
      <alignment horizontal="center" vertical="center" wrapText="1"/>
    </xf>
    <xf numFmtId="0" fontId="209" fillId="0" borderId="9" xfId="101" applyFont="1" applyBorder="1" applyAlignment="1">
      <alignment horizontal="center" vertical="center" wrapText="1"/>
    </xf>
    <xf numFmtId="0" fontId="4" fillId="0" borderId="9" xfId="101" applyBorder="1" applyAlignment="1">
      <alignment horizontal="center"/>
    </xf>
    <xf numFmtId="0" fontId="4" fillId="0" borderId="11" xfId="101" applyBorder="1" applyAlignment="1">
      <alignment horizontal="center"/>
    </xf>
    <xf numFmtId="0" fontId="164" fillId="0" borderId="8" xfId="2" applyFont="1" applyFill="1" applyBorder="1" applyAlignment="1">
      <alignment horizontal="center" vertical="center"/>
    </xf>
    <xf numFmtId="0" fontId="164" fillId="0" borderId="9" xfId="2" applyFont="1" applyFill="1" applyBorder="1" applyAlignment="1">
      <alignment horizontal="center" vertical="center"/>
    </xf>
    <xf numFmtId="0" fontId="164" fillId="0" borderId="11" xfId="2" applyFont="1" applyFill="1" applyBorder="1" applyAlignment="1">
      <alignment horizontal="center" vertical="center"/>
    </xf>
    <xf numFmtId="0" fontId="98" fillId="0" borderId="15" xfId="2" applyFont="1" applyFill="1" applyBorder="1" applyAlignment="1">
      <alignment horizontal="left" vertical="center"/>
    </xf>
    <xf numFmtId="0" fontId="98" fillId="0" borderId="16" xfId="2" applyFont="1" applyFill="1" applyBorder="1" applyAlignment="1">
      <alignment horizontal="left" vertical="center"/>
    </xf>
    <xf numFmtId="0" fontId="98" fillId="0" borderId="18" xfId="2" applyFont="1" applyFill="1" applyBorder="1" applyAlignment="1">
      <alignment horizontal="left" vertical="center"/>
    </xf>
    <xf numFmtId="0" fontId="174" fillId="0" borderId="0" xfId="101" applyFont="1" applyFill="1" applyBorder="1" applyAlignment="1">
      <alignment horizontal="right" wrapText="1"/>
    </xf>
    <xf numFmtId="0" fontId="169" fillId="0" borderId="0" xfId="48" applyFont="1" applyFill="1" applyBorder="1" applyAlignment="1">
      <alignment horizontal="center" vertical="center"/>
    </xf>
    <xf numFmtId="0" fontId="169" fillId="0" borderId="51" xfId="48" applyFont="1" applyFill="1" applyBorder="1" applyAlignment="1">
      <alignment horizontal="center" vertical="center"/>
    </xf>
    <xf numFmtId="0" fontId="173" fillId="0" borderId="0" xfId="101" applyFont="1" applyFill="1" applyBorder="1" applyAlignment="1">
      <alignment horizontal="center" vertical="center" wrapText="1"/>
    </xf>
    <xf numFmtId="0" fontId="22" fillId="0" borderId="2" xfId="48" applyFont="1" applyFill="1" applyBorder="1" applyAlignment="1">
      <alignment horizontal="center" vertical="center"/>
    </xf>
    <xf numFmtId="0" fontId="22" fillId="0" borderId="3" xfId="48" applyFont="1" applyFill="1" applyBorder="1" applyAlignment="1">
      <alignment horizontal="center" vertical="center"/>
    </xf>
    <xf numFmtId="0" fontId="22" fillId="0" borderId="69" xfId="48" applyFont="1" applyFill="1" applyBorder="1" applyAlignment="1">
      <alignment horizontal="center" vertical="center"/>
    </xf>
    <xf numFmtId="0" fontId="10" fillId="2" borderId="16" xfId="48" applyFont="1" applyFill="1" applyBorder="1" applyAlignment="1">
      <alignment horizontal="center" vertical="center"/>
    </xf>
    <xf numFmtId="0" fontId="43" fillId="0" borderId="0" xfId="48" applyFont="1" applyFill="1" applyAlignment="1">
      <alignment horizontal="center" vertical="center"/>
    </xf>
    <xf numFmtId="0" fontId="56" fillId="0" borderId="0" xfId="48" applyFont="1" applyFill="1" applyAlignment="1">
      <alignment horizontal="left" vertical="center"/>
    </xf>
    <xf numFmtId="0" fontId="62" fillId="0" borderId="16" xfId="48" applyFont="1" applyFill="1" applyBorder="1" applyAlignment="1">
      <alignment horizontal="left" vertical="center"/>
    </xf>
    <xf numFmtId="49" fontId="10" fillId="2" borderId="16" xfId="48" applyNumberFormat="1" applyFont="1" applyFill="1" applyBorder="1" applyAlignment="1">
      <alignment horizontal="center" vertical="center"/>
    </xf>
    <xf numFmtId="0" fontId="16" fillId="0" borderId="0" xfId="101" applyFont="1" applyFill="1" applyBorder="1" applyAlignment="1">
      <alignment horizontal="right" vertical="center"/>
    </xf>
    <xf numFmtId="0" fontId="43" fillId="0" borderId="16" xfId="48" applyFont="1" applyFill="1" applyBorder="1" applyAlignment="1">
      <alignment horizontal="center" vertical="center"/>
    </xf>
    <xf numFmtId="0" fontId="10" fillId="0" borderId="16" xfId="48" applyFont="1" applyFill="1" applyBorder="1" applyAlignment="1">
      <alignment horizontal="center" vertical="center"/>
    </xf>
    <xf numFmtId="0" fontId="10" fillId="2" borderId="16" xfId="48" applyFont="1" applyFill="1" applyBorder="1" applyAlignment="1">
      <alignment horizontal="center" vertical="center" readingOrder="2"/>
    </xf>
    <xf numFmtId="185" fontId="18" fillId="2" borderId="16" xfId="48" applyNumberFormat="1" applyFont="1" applyFill="1" applyBorder="1" applyAlignment="1">
      <alignment horizontal="center" vertical="center" readingOrder="2"/>
    </xf>
    <xf numFmtId="0" fontId="11" fillId="0" borderId="0" xfId="48" applyFont="1" applyFill="1" applyBorder="1" applyAlignment="1">
      <alignment horizontal="right"/>
    </xf>
    <xf numFmtId="0" fontId="7" fillId="0" borderId="0" xfId="48" applyFont="1" applyFill="1" applyBorder="1" applyAlignment="1">
      <alignment horizontal="right" vertical="center" wrapText="1" readingOrder="2"/>
    </xf>
    <xf numFmtId="3" fontId="57" fillId="2" borderId="44" xfId="5" applyNumberFormat="1" applyFont="1" applyFill="1" applyBorder="1" applyAlignment="1">
      <alignment horizontal="center" vertical="center" wrapText="1" readingOrder="2"/>
    </xf>
    <xf numFmtId="0" fontId="79" fillId="2" borderId="0" xfId="5" applyFont="1" applyFill="1" applyBorder="1" applyAlignment="1">
      <alignment horizontal="center" vertical="center" readingOrder="2"/>
    </xf>
    <xf numFmtId="0" fontId="49" fillId="2" borderId="44" xfId="5" applyFont="1" applyFill="1" applyBorder="1" applyAlignment="1">
      <alignment horizontal="center" vertical="center" wrapText="1" readingOrder="2"/>
    </xf>
    <xf numFmtId="0" fontId="59" fillId="2" borderId="41" xfId="5" applyFont="1" applyFill="1" applyBorder="1" applyAlignment="1">
      <alignment horizontal="center" wrapText="1" readingOrder="2"/>
    </xf>
    <xf numFmtId="0" fontId="59" fillId="2" borderId="6" xfId="5" applyFont="1" applyFill="1" applyBorder="1" applyAlignment="1">
      <alignment horizontal="center" wrapText="1" readingOrder="2"/>
    </xf>
    <xf numFmtId="3" fontId="12" fillId="2" borderId="41" xfId="5" applyNumberFormat="1" applyFont="1" applyFill="1" applyBorder="1" applyAlignment="1">
      <alignment horizontal="center" vertical="center"/>
    </xf>
    <xf numFmtId="3" fontId="12" fillId="2" borderId="5" xfId="5" applyNumberFormat="1" applyFont="1" applyFill="1" applyBorder="1" applyAlignment="1">
      <alignment horizontal="center" vertical="center"/>
    </xf>
    <xf numFmtId="3" fontId="12" fillId="2" borderId="7" xfId="5" applyNumberFormat="1" applyFont="1" applyFill="1" applyBorder="1" applyAlignment="1">
      <alignment horizontal="center" vertical="center"/>
    </xf>
    <xf numFmtId="0" fontId="23" fillId="0" borderId="15" xfId="5" applyFont="1" applyFill="1" applyBorder="1" applyAlignment="1">
      <alignment horizontal="center" vertical="center"/>
    </xf>
    <xf numFmtId="0" fontId="23" fillId="0" borderId="16" xfId="5" applyFont="1" applyFill="1" applyBorder="1" applyAlignment="1">
      <alignment horizontal="center" vertical="center"/>
    </xf>
    <xf numFmtId="0" fontId="23" fillId="0" borderId="18" xfId="5" applyFont="1" applyFill="1" applyBorder="1" applyAlignment="1">
      <alignment horizontal="center" vertical="center"/>
    </xf>
    <xf numFmtId="0" fontId="23" fillId="0" borderId="53" xfId="5" applyFont="1" applyFill="1" applyBorder="1" applyAlignment="1">
      <alignment horizontal="center" vertical="center"/>
    </xf>
    <xf numFmtId="0" fontId="23" fillId="0" borderId="29" xfId="5" applyFont="1" applyFill="1" applyBorder="1" applyAlignment="1">
      <alignment horizontal="center" vertical="center"/>
    </xf>
    <xf numFmtId="0" fontId="23" fillId="0" borderId="28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 vertical="center"/>
    </xf>
    <xf numFmtId="0" fontId="59" fillId="0" borderId="0" xfId="5" applyFont="1" applyFill="1" applyBorder="1" applyAlignment="1">
      <alignment horizontal="right" wrapText="1" readingOrder="2"/>
    </xf>
    <xf numFmtId="0" fontId="79" fillId="0" borderId="1" xfId="5" applyFont="1" applyFill="1" applyBorder="1" applyAlignment="1">
      <alignment horizontal="center" vertical="center" wrapText="1" readingOrder="2"/>
    </xf>
    <xf numFmtId="0" fontId="17" fillId="0" borderId="41" xfId="26" applyFont="1" applyFill="1" applyBorder="1" applyAlignment="1">
      <alignment horizontal="center" vertical="center" wrapText="1"/>
    </xf>
    <xf numFmtId="0" fontId="17" fillId="0" borderId="5" xfId="26" applyFont="1" applyFill="1" applyBorder="1" applyAlignment="1">
      <alignment horizontal="center" vertical="center" wrapText="1"/>
    </xf>
    <xf numFmtId="0" fontId="23" fillId="0" borderId="8" xfId="5" applyFont="1" applyFill="1" applyBorder="1" applyAlignment="1">
      <alignment horizontal="center" vertical="center"/>
    </xf>
    <xf numFmtId="0" fontId="23" fillId="0" borderId="9" xfId="5" applyFont="1" applyFill="1" applyBorder="1" applyAlignment="1">
      <alignment horizontal="center" vertical="center"/>
    </xf>
    <xf numFmtId="0" fontId="23" fillId="0" borderId="11" xfId="5" applyFont="1" applyFill="1" applyBorder="1" applyAlignment="1">
      <alignment horizontal="center" vertical="center"/>
    </xf>
    <xf numFmtId="0" fontId="16" fillId="0" borderId="46" xfId="5" applyFont="1" applyFill="1" applyBorder="1" applyAlignment="1">
      <alignment horizontal="center" vertical="center"/>
    </xf>
    <xf numFmtId="0" fontId="16" fillId="0" borderId="51" xfId="5" applyFont="1" applyFill="1" applyBorder="1" applyAlignment="1">
      <alignment horizontal="center" vertical="center"/>
    </xf>
    <xf numFmtId="0" fontId="94" fillId="0" borderId="0" xfId="5" applyFont="1" applyFill="1" applyAlignment="1">
      <alignment horizontal="center" vertical="center"/>
    </xf>
    <xf numFmtId="0" fontId="23" fillId="0" borderId="76" xfId="5" applyFont="1" applyFill="1" applyBorder="1" applyAlignment="1">
      <alignment horizontal="center" vertical="center"/>
    </xf>
    <xf numFmtId="0" fontId="23" fillId="0" borderId="86" xfId="5" applyFont="1" applyFill="1" applyBorder="1" applyAlignment="1">
      <alignment horizontal="center" vertical="center"/>
    </xf>
    <xf numFmtId="0" fontId="23" fillId="0" borderId="69" xfId="5" applyFont="1" applyFill="1" applyBorder="1" applyAlignment="1">
      <alignment horizontal="center" vertical="center"/>
    </xf>
    <xf numFmtId="0" fontId="23" fillId="0" borderId="51" xfId="5" applyFont="1" applyFill="1" applyBorder="1" applyAlignment="1">
      <alignment horizontal="center" vertical="center"/>
    </xf>
    <xf numFmtId="0" fontId="94" fillId="0" borderId="1" xfId="5" applyFont="1" applyFill="1" applyBorder="1" applyAlignment="1">
      <alignment horizontal="center" vertical="center"/>
    </xf>
    <xf numFmtId="0" fontId="10" fillId="0" borderId="68" xfId="5" applyFont="1" applyFill="1" applyBorder="1" applyAlignment="1">
      <alignment horizontal="center" vertical="center"/>
    </xf>
    <xf numFmtId="0" fontId="10" fillId="0" borderId="58" xfId="5" applyFont="1" applyFill="1" applyBorder="1" applyAlignment="1">
      <alignment horizontal="center" vertical="center"/>
    </xf>
    <xf numFmtId="0" fontId="16" fillId="0" borderId="2" xfId="5" applyFont="1" applyFill="1" applyBorder="1" applyAlignment="1">
      <alignment horizontal="center" vertical="center"/>
    </xf>
    <xf numFmtId="0" fontId="16" fillId="0" borderId="69" xfId="5" applyFont="1" applyFill="1" applyBorder="1" applyAlignment="1">
      <alignment horizontal="center" vertical="center"/>
    </xf>
    <xf numFmtId="0" fontId="16" fillId="0" borderId="25" xfId="5" applyFont="1" applyFill="1" applyBorder="1" applyAlignment="1">
      <alignment horizontal="center" vertical="center"/>
    </xf>
    <xf numFmtId="0" fontId="16" fillId="0" borderId="88" xfId="5" applyFont="1" applyFill="1" applyBorder="1" applyAlignment="1">
      <alignment horizontal="center" vertical="center"/>
    </xf>
    <xf numFmtId="0" fontId="79" fillId="0" borderId="0" xfId="5" applyFont="1" applyFill="1" applyBorder="1" applyAlignment="1">
      <alignment horizontal="center" vertical="center" readingOrder="2"/>
    </xf>
    <xf numFmtId="3" fontId="81" fillId="13" borderId="68" xfId="22" applyNumberFormat="1" applyFont="1" applyFill="1" applyBorder="1" applyAlignment="1">
      <alignment horizontal="center" vertical="center" readingOrder="2"/>
    </xf>
    <xf numFmtId="3" fontId="81" fillId="13" borderId="58" xfId="22" applyNumberFormat="1" applyFont="1" applyFill="1" applyBorder="1" applyAlignment="1">
      <alignment horizontal="center" vertical="center" readingOrder="2"/>
    </xf>
    <xf numFmtId="0" fontId="26" fillId="0" borderId="0" xfId="5" applyFont="1" applyFill="1" applyAlignment="1">
      <alignment horizontal="center"/>
    </xf>
    <xf numFmtId="0" fontId="124" fillId="0" borderId="1" xfId="5" applyFont="1" applyFill="1" applyBorder="1" applyAlignment="1">
      <alignment horizontal="left" vertical="center"/>
    </xf>
    <xf numFmtId="0" fontId="17" fillId="0" borderId="71" xfId="5" applyFont="1" applyFill="1" applyBorder="1" applyAlignment="1">
      <alignment horizontal="center" vertical="center" textRotation="90"/>
    </xf>
    <xf numFmtId="0" fontId="17" fillId="0" borderId="59" xfId="5" applyFont="1" applyFill="1" applyBorder="1" applyAlignment="1">
      <alignment horizontal="center" vertical="center" textRotation="90"/>
    </xf>
    <xf numFmtId="0" fontId="17" fillId="0" borderId="62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23" fillId="0" borderId="40" xfId="5" applyFont="1" applyFill="1" applyBorder="1" applyAlignment="1">
      <alignment horizontal="center" vertical="center"/>
    </xf>
    <xf numFmtId="0" fontId="23" fillId="0" borderId="3" xfId="5" applyFont="1" applyFill="1" applyBorder="1" applyAlignment="1">
      <alignment horizontal="center" vertical="center"/>
    </xf>
    <xf numFmtId="0" fontId="23" fillId="0" borderId="37" xfId="5" applyFont="1" applyFill="1" applyBorder="1" applyAlignment="1">
      <alignment horizontal="center" vertical="center"/>
    </xf>
    <xf numFmtId="0" fontId="23" fillId="0" borderId="1" xfId="5" applyFont="1" applyFill="1" applyBorder="1" applyAlignment="1">
      <alignment horizontal="center" vertical="center"/>
    </xf>
    <xf numFmtId="0" fontId="23" fillId="0" borderId="68" xfId="5" applyFont="1" applyFill="1" applyBorder="1" applyAlignment="1">
      <alignment horizontal="center" vertical="center"/>
    </xf>
    <xf numFmtId="0" fontId="23" fillId="0" borderId="58" xfId="5" applyFont="1" applyFill="1" applyBorder="1" applyAlignment="1">
      <alignment horizontal="center" vertical="center"/>
    </xf>
    <xf numFmtId="0" fontId="17" fillId="0" borderId="75" xfId="5" applyFont="1" applyFill="1" applyBorder="1" applyAlignment="1">
      <alignment horizontal="center" vertical="center" textRotation="90"/>
    </xf>
    <xf numFmtId="0" fontId="23" fillId="0" borderId="17" xfId="5" applyFont="1" applyFill="1" applyBorder="1" applyAlignment="1">
      <alignment horizontal="center" vertical="center"/>
    </xf>
    <xf numFmtId="0" fontId="23" fillId="0" borderId="45" xfId="5" applyFont="1" applyFill="1" applyBorder="1" applyAlignment="1">
      <alignment horizontal="center" vertical="center"/>
    </xf>
    <xf numFmtId="0" fontId="23" fillId="0" borderId="34" xfId="5" applyFont="1" applyFill="1" applyBorder="1" applyAlignment="1">
      <alignment horizontal="center" vertical="center"/>
    </xf>
    <xf numFmtId="0" fontId="23" fillId="0" borderId="143" xfId="5" applyFont="1" applyFill="1" applyBorder="1" applyAlignment="1">
      <alignment horizontal="center" vertical="center"/>
    </xf>
    <xf numFmtId="0" fontId="23" fillId="0" borderId="60" xfId="5" applyFont="1" applyFill="1" applyBorder="1" applyAlignment="1">
      <alignment horizontal="center" vertical="center"/>
    </xf>
    <xf numFmtId="0" fontId="47" fillId="0" borderId="38" xfId="5" applyFont="1" applyFill="1" applyBorder="1" applyAlignment="1">
      <alignment horizontal="center" vertical="center"/>
    </xf>
    <xf numFmtId="0" fontId="47" fillId="0" borderId="48" xfId="5" applyFont="1" applyFill="1" applyBorder="1" applyAlignment="1">
      <alignment horizontal="center" vertical="center"/>
    </xf>
    <xf numFmtId="0" fontId="47" fillId="0" borderId="4" xfId="5" applyFont="1" applyFill="1" applyBorder="1" applyAlignment="1">
      <alignment horizontal="center" vertical="center"/>
    </xf>
    <xf numFmtId="0" fontId="47" fillId="0" borderId="50" xfId="5" applyFont="1" applyFill="1" applyBorder="1" applyAlignment="1">
      <alignment horizontal="center" vertical="center"/>
    </xf>
    <xf numFmtId="0" fontId="23" fillId="0" borderId="21" xfId="5" applyFont="1" applyFill="1" applyBorder="1" applyAlignment="1">
      <alignment horizontal="center" vertical="center"/>
    </xf>
    <xf numFmtId="0" fontId="17" fillId="0" borderId="65" xfId="5" applyFont="1" applyFill="1" applyBorder="1" applyAlignment="1">
      <alignment horizontal="center" vertical="center"/>
    </xf>
    <xf numFmtId="0" fontId="17" fillId="0" borderId="55" xfId="5" applyFont="1" applyFill="1" applyBorder="1" applyAlignment="1">
      <alignment horizontal="center" vertical="center"/>
    </xf>
    <xf numFmtId="0" fontId="23" fillId="0" borderId="13" xfId="5" applyFont="1" applyFill="1" applyBorder="1" applyAlignment="1">
      <alignment horizontal="center" vertical="center"/>
    </xf>
    <xf numFmtId="0" fontId="23" fillId="0" borderId="77" xfId="5" applyFont="1" applyFill="1" applyBorder="1" applyAlignment="1">
      <alignment horizontal="center" vertical="center"/>
    </xf>
    <xf numFmtId="0" fontId="47" fillId="0" borderId="32" xfId="5" applyFont="1" applyFill="1" applyBorder="1" applyAlignment="1">
      <alignment horizontal="center" vertical="center"/>
    </xf>
    <xf numFmtId="0" fontId="47" fillId="0" borderId="61" xfId="5" applyFont="1" applyFill="1" applyBorder="1" applyAlignment="1">
      <alignment horizontal="center" vertical="center"/>
    </xf>
    <xf numFmtId="0" fontId="17" fillId="0" borderId="38" xfId="5" applyFont="1" applyFill="1" applyBorder="1" applyAlignment="1">
      <alignment horizontal="center" vertical="center"/>
    </xf>
    <xf numFmtId="0" fontId="17" fillId="0" borderId="48" xfId="5" applyFont="1" applyFill="1" applyBorder="1" applyAlignment="1">
      <alignment horizontal="center" vertical="center"/>
    </xf>
    <xf numFmtId="0" fontId="17" fillId="0" borderId="143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/>
    </xf>
    <xf numFmtId="0" fontId="17" fillId="0" borderId="32" xfId="5" applyFont="1" applyFill="1" applyBorder="1" applyAlignment="1">
      <alignment horizontal="center" vertical="center"/>
    </xf>
    <xf numFmtId="0" fontId="17" fillId="0" borderId="72" xfId="5" applyFont="1" applyFill="1" applyBorder="1" applyAlignment="1">
      <alignment horizontal="center" vertical="center"/>
    </xf>
    <xf numFmtId="0" fontId="47" fillId="0" borderId="43" xfId="5" applyFont="1" applyFill="1" applyBorder="1" applyAlignment="1">
      <alignment horizontal="center" vertical="center"/>
    </xf>
    <xf numFmtId="0" fontId="47" fillId="0" borderId="18" xfId="5" applyFont="1" applyFill="1" applyBorder="1" applyAlignment="1">
      <alignment horizontal="center" vertical="center"/>
    </xf>
    <xf numFmtId="0" fontId="47" fillId="0" borderId="28" xfId="5" applyFont="1" applyFill="1" applyBorder="1" applyAlignment="1">
      <alignment horizontal="center" vertical="center"/>
    </xf>
    <xf numFmtId="0" fontId="23" fillId="0" borderId="87" xfId="5" applyFont="1" applyFill="1" applyBorder="1" applyAlignment="1">
      <alignment horizontal="center" vertical="center"/>
    </xf>
    <xf numFmtId="0" fontId="121" fillId="0" borderId="1" xfId="5" applyFont="1" applyFill="1" applyBorder="1" applyAlignment="1">
      <alignment horizontal="left" vertical="center"/>
    </xf>
    <xf numFmtId="0" fontId="23" fillId="0" borderId="2" xfId="5" applyFont="1" applyFill="1" applyBorder="1" applyAlignment="1">
      <alignment horizontal="center" vertical="center"/>
    </xf>
    <xf numFmtId="0" fontId="23" fillId="0" borderId="25" xfId="5" applyFont="1" applyFill="1" applyBorder="1" applyAlignment="1">
      <alignment horizontal="center" vertical="center"/>
    </xf>
    <xf numFmtId="0" fontId="23" fillId="0" borderId="57" xfId="5" applyFont="1" applyFill="1" applyBorder="1" applyAlignment="1">
      <alignment horizontal="center" vertical="center"/>
    </xf>
    <xf numFmtId="0" fontId="23" fillId="0" borderId="6" xfId="5" applyFont="1" applyFill="1" applyBorder="1" applyAlignment="1">
      <alignment horizontal="center" vertical="center" wrapText="1"/>
    </xf>
    <xf numFmtId="0" fontId="23" fillId="0" borderId="58" xfId="5" applyFont="1" applyFill="1" applyBorder="1" applyAlignment="1">
      <alignment horizontal="center" vertical="center" wrapText="1"/>
    </xf>
    <xf numFmtId="0" fontId="23" fillId="0" borderId="47" xfId="5" applyFont="1" applyFill="1" applyBorder="1" applyAlignment="1">
      <alignment horizontal="center" vertical="center"/>
    </xf>
    <xf numFmtId="0" fontId="76" fillId="0" borderId="46" xfId="5" applyFont="1" applyFill="1" applyBorder="1" applyAlignment="1">
      <alignment horizontal="center" vertical="center"/>
    </xf>
    <xf numFmtId="0" fontId="76" fillId="0" borderId="65" xfId="5" applyFont="1" applyFill="1" applyBorder="1" applyAlignment="1">
      <alignment horizontal="center" vertical="center"/>
    </xf>
    <xf numFmtId="0" fontId="76" fillId="0" borderId="47" xfId="5" applyFont="1" applyFill="1" applyBorder="1" applyAlignment="1">
      <alignment horizontal="center" vertical="center"/>
    </xf>
    <xf numFmtId="0" fontId="76" fillId="0" borderId="55" xfId="5" applyFont="1" applyFill="1" applyBorder="1" applyAlignment="1">
      <alignment horizontal="center" vertical="center"/>
    </xf>
    <xf numFmtId="0" fontId="76" fillId="0" borderId="42" xfId="5" applyFont="1" applyFill="1" applyBorder="1" applyAlignment="1">
      <alignment horizontal="center" vertical="center"/>
    </xf>
    <xf numFmtId="0" fontId="76" fillId="0" borderId="51" xfId="5" applyFont="1" applyFill="1" applyBorder="1" applyAlignment="1">
      <alignment horizontal="center" vertical="center"/>
    </xf>
    <xf numFmtId="0" fontId="23" fillId="0" borderId="23" xfId="5" applyFont="1" applyFill="1" applyBorder="1" applyAlignment="1">
      <alignment horizontal="center" vertical="center"/>
    </xf>
    <xf numFmtId="0" fontId="76" fillId="0" borderId="23" xfId="5" applyFont="1" applyFill="1" applyBorder="1" applyAlignment="1">
      <alignment horizontal="center" vertical="center"/>
    </xf>
    <xf numFmtId="0" fontId="76" fillId="0" borderId="24" xfId="5" applyFont="1" applyFill="1" applyBorder="1" applyAlignment="1">
      <alignment horizontal="center" vertical="center"/>
    </xf>
    <xf numFmtId="0" fontId="76" fillId="0" borderId="34" xfId="5" applyFont="1" applyFill="1" applyBorder="1" applyAlignment="1">
      <alignment horizontal="center" vertical="center"/>
    </xf>
    <xf numFmtId="0" fontId="76" fillId="0" borderId="87" xfId="5" applyFont="1" applyFill="1" applyBorder="1" applyAlignment="1">
      <alignment horizontal="center" vertical="center"/>
    </xf>
    <xf numFmtId="0" fontId="76" fillId="0" borderId="13" xfId="5" applyFont="1" applyFill="1" applyBorder="1" applyAlignment="1">
      <alignment horizontal="center" vertical="center"/>
    </xf>
    <xf numFmtId="0" fontId="76" fillId="0" borderId="49" xfId="5" applyFont="1" applyFill="1" applyBorder="1" applyAlignment="1">
      <alignment horizontal="center" vertical="center"/>
    </xf>
    <xf numFmtId="0" fontId="23" fillId="0" borderId="66" xfId="5" applyFont="1" applyFill="1" applyBorder="1" applyAlignment="1">
      <alignment horizontal="center" vertical="center"/>
    </xf>
    <xf numFmtId="0" fontId="23" fillId="0" borderId="64" xfId="5" applyFont="1" applyFill="1" applyBorder="1" applyAlignment="1">
      <alignment horizontal="center" vertical="center"/>
    </xf>
    <xf numFmtId="0" fontId="76" fillId="0" borderId="66" xfId="5" applyFont="1" applyFill="1" applyBorder="1" applyAlignment="1">
      <alignment horizontal="center" vertical="center"/>
    </xf>
    <xf numFmtId="0" fontId="76" fillId="0" borderId="67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3" fillId="0" borderId="71" xfId="5" applyFont="1" applyFill="1" applyBorder="1" applyAlignment="1">
      <alignment horizontal="center" vertical="center"/>
    </xf>
    <xf numFmtId="0" fontId="23" fillId="0" borderId="75" xfId="5" applyFont="1" applyFill="1" applyBorder="1" applyAlignment="1">
      <alignment horizontal="center" vertical="center"/>
    </xf>
    <xf numFmtId="0" fontId="57" fillId="0" borderId="0" xfId="5" applyFont="1" applyFill="1" applyBorder="1" applyAlignment="1">
      <alignment horizontal="right" wrapText="1" readingOrder="2"/>
    </xf>
    <xf numFmtId="3" fontId="49" fillId="10" borderId="66" xfId="22" applyNumberFormat="1" applyFont="1" applyFill="1" applyBorder="1" applyAlignment="1">
      <alignment horizontal="center" vertical="center" readingOrder="2"/>
    </xf>
    <xf numFmtId="3" fontId="49" fillId="10" borderId="67" xfId="22" applyNumberFormat="1" applyFont="1" applyFill="1" applyBorder="1" applyAlignment="1">
      <alignment horizontal="center" vertical="center" readingOrder="2"/>
    </xf>
    <xf numFmtId="0" fontId="80" fillId="0" borderId="0" xfId="22" applyFont="1" applyBorder="1" applyAlignment="1">
      <alignment horizontal="center" vertical="center"/>
    </xf>
    <xf numFmtId="3" fontId="80" fillId="10" borderId="66" xfId="22" applyNumberFormat="1" applyFont="1" applyFill="1" applyBorder="1" applyAlignment="1">
      <alignment horizontal="center" vertical="center" readingOrder="2"/>
    </xf>
    <xf numFmtId="3" fontId="80" fillId="10" borderId="67" xfId="22" applyNumberFormat="1" applyFont="1" applyFill="1" applyBorder="1" applyAlignment="1">
      <alignment horizontal="center" vertical="center" readingOrder="2"/>
    </xf>
    <xf numFmtId="0" fontId="94" fillId="0" borderId="0" xfId="5" applyFont="1" applyFill="1" applyBorder="1" applyAlignment="1">
      <alignment horizontal="center" vertical="center" readingOrder="2"/>
    </xf>
    <xf numFmtId="0" fontId="49" fillId="0" borderId="41" xfId="5" applyFont="1" applyFill="1" applyBorder="1" applyAlignment="1">
      <alignment horizontal="center" vertical="center" readingOrder="2"/>
    </xf>
    <xf numFmtId="0" fontId="49" fillId="0" borderId="6" xfId="5" applyFont="1" applyFill="1" applyBorder="1" applyAlignment="1">
      <alignment horizontal="center" vertical="center" readingOrder="2"/>
    </xf>
    <xf numFmtId="0" fontId="43" fillId="0" borderId="0" xfId="42" applyFont="1" applyFill="1" applyBorder="1" applyAlignment="1">
      <alignment horizontal="center" vertical="center"/>
    </xf>
    <xf numFmtId="0" fontId="127" fillId="2" borderId="14" xfId="42" applyFont="1" applyFill="1" applyBorder="1" applyAlignment="1">
      <alignment horizontal="center" vertical="center" wrapText="1" readingOrder="2"/>
    </xf>
    <xf numFmtId="0" fontId="127" fillId="2" borderId="19" xfId="42" applyFont="1" applyFill="1" applyBorder="1" applyAlignment="1">
      <alignment horizontal="center" vertical="center" wrapText="1" readingOrder="2"/>
    </xf>
    <xf numFmtId="0" fontId="103" fillId="0" borderId="86" xfId="42" applyFont="1" applyFill="1" applyBorder="1" applyAlignment="1">
      <alignment horizontal="center" vertical="center" wrapText="1" readingOrder="2"/>
    </xf>
    <xf numFmtId="0" fontId="103" fillId="0" borderId="45" xfId="42" applyFont="1" applyFill="1" applyBorder="1" applyAlignment="1">
      <alignment horizontal="center" vertical="center" wrapText="1" readingOrder="2"/>
    </xf>
    <xf numFmtId="0" fontId="126" fillId="2" borderId="14" xfId="42" applyFont="1" applyFill="1" applyBorder="1" applyAlignment="1">
      <alignment horizontal="center" vertical="center" wrapText="1" readingOrder="2"/>
    </xf>
    <xf numFmtId="0" fontId="126" fillId="2" borderId="19" xfId="42" applyFont="1" applyFill="1" applyBorder="1" applyAlignment="1">
      <alignment horizontal="center" vertical="center" wrapText="1" readingOrder="2"/>
    </xf>
    <xf numFmtId="0" fontId="128" fillId="0" borderId="87" xfId="42" applyFont="1" applyFill="1" applyBorder="1" applyAlignment="1">
      <alignment horizontal="center" vertical="center" wrapText="1" readingOrder="2"/>
    </xf>
    <xf numFmtId="0" fontId="128" fillId="0" borderId="49" xfId="42" applyFont="1" applyFill="1" applyBorder="1" applyAlignment="1">
      <alignment horizontal="center" vertical="center" wrapText="1" readingOrder="2"/>
    </xf>
    <xf numFmtId="0" fontId="126" fillId="2" borderId="70" xfId="42" applyFont="1" applyFill="1" applyBorder="1" applyAlignment="1">
      <alignment horizontal="center" vertical="center" wrapText="1" readingOrder="2"/>
    </xf>
    <xf numFmtId="0" fontId="126" fillId="2" borderId="56" xfId="42" applyFont="1" applyFill="1" applyBorder="1" applyAlignment="1">
      <alignment horizontal="center" vertical="center" wrapText="1" readingOrder="2"/>
    </xf>
    <xf numFmtId="0" fontId="127" fillId="2" borderId="70" xfId="42" applyFont="1" applyFill="1" applyBorder="1" applyAlignment="1">
      <alignment horizontal="center" vertical="center" wrapText="1" readingOrder="2"/>
    </xf>
    <xf numFmtId="0" fontId="127" fillId="2" borderId="56" xfId="42" applyFont="1" applyFill="1" applyBorder="1" applyAlignment="1">
      <alignment horizontal="center" vertical="center" wrapText="1" readingOrder="2"/>
    </xf>
    <xf numFmtId="0" fontId="103" fillId="0" borderId="87" xfId="42" applyFont="1" applyFill="1" applyBorder="1" applyAlignment="1">
      <alignment horizontal="center" vertical="center" wrapText="1" readingOrder="2"/>
    </xf>
    <xf numFmtId="0" fontId="128" fillId="2" borderId="70" xfId="42" applyFont="1" applyFill="1" applyBorder="1" applyAlignment="1">
      <alignment horizontal="center" vertical="center" wrapText="1" readingOrder="2"/>
    </xf>
    <xf numFmtId="0" fontId="128" fillId="2" borderId="56" xfId="42" applyFont="1" applyFill="1" applyBorder="1" applyAlignment="1">
      <alignment horizontal="center" vertical="center" wrapText="1" readingOrder="2"/>
    </xf>
    <xf numFmtId="0" fontId="127" fillId="0" borderId="2" xfId="42" applyFont="1" applyFill="1" applyBorder="1" applyAlignment="1">
      <alignment horizontal="center" vertical="center" wrapText="1" readingOrder="2"/>
    </xf>
    <xf numFmtId="0" fontId="127" fillId="0" borderId="69" xfId="42" applyFont="1" applyFill="1" applyBorder="1" applyAlignment="1">
      <alignment horizontal="center" vertical="center" wrapText="1" readingOrder="2"/>
    </xf>
    <xf numFmtId="0" fontId="127" fillId="0" borderId="25" xfId="42" applyFont="1" applyFill="1" applyBorder="1" applyAlignment="1">
      <alignment horizontal="center" vertical="center" wrapText="1" readingOrder="2"/>
    </xf>
    <xf numFmtId="0" fontId="127" fillId="0" borderId="88" xfId="42" applyFont="1" applyFill="1" applyBorder="1" applyAlignment="1">
      <alignment horizontal="center" vertical="center" wrapText="1" readingOrder="2"/>
    </xf>
    <xf numFmtId="0" fontId="126" fillId="2" borderId="3" xfId="42" applyFont="1" applyFill="1" applyBorder="1" applyAlignment="1">
      <alignment horizontal="center" vertical="center" wrapText="1" readingOrder="2"/>
    </xf>
    <xf numFmtId="0" fontId="126" fillId="2" borderId="69" xfId="42" applyFont="1" applyFill="1" applyBorder="1" applyAlignment="1">
      <alignment horizontal="center" vertical="center" wrapText="1" readingOrder="2"/>
    </xf>
    <xf numFmtId="0" fontId="126" fillId="2" borderId="1" xfId="42" applyFont="1" applyFill="1" applyBorder="1" applyAlignment="1">
      <alignment horizontal="center" vertical="center" wrapText="1" readingOrder="2"/>
    </xf>
    <xf numFmtId="0" fontId="126" fillId="2" borderId="88" xfId="42" applyFont="1" applyFill="1" applyBorder="1" applyAlignment="1">
      <alignment horizontal="center" vertical="center" wrapText="1" readingOrder="2"/>
    </xf>
    <xf numFmtId="0" fontId="127" fillId="2" borderId="75" xfId="42" applyFont="1" applyFill="1" applyBorder="1" applyAlignment="1">
      <alignment horizontal="center" vertical="center" wrapText="1" readingOrder="2"/>
    </xf>
    <xf numFmtId="0" fontId="120" fillId="2" borderId="19" xfId="42" applyFont="1" applyFill="1" applyBorder="1" applyAlignment="1">
      <alignment horizontal="center" vertical="center" wrapText="1" readingOrder="2"/>
    </xf>
    <xf numFmtId="0" fontId="120" fillId="2" borderId="70" xfId="42" applyFont="1" applyFill="1" applyBorder="1" applyAlignment="1">
      <alignment horizontal="center" vertical="center" wrapText="1" readingOrder="2"/>
    </xf>
    <xf numFmtId="0" fontId="126" fillId="2" borderId="30" xfId="42" applyFont="1" applyFill="1" applyBorder="1" applyAlignment="1">
      <alignment horizontal="center" vertical="center" wrapText="1" readingOrder="2"/>
    </xf>
    <xf numFmtId="0" fontId="136" fillId="0" borderId="0" xfId="44" applyFont="1" applyFill="1" applyBorder="1" applyAlignment="1">
      <alignment horizontal="center" vertical="center"/>
    </xf>
    <xf numFmtId="3" fontId="135" fillId="24" borderId="68" xfId="44" applyNumberFormat="1" applyFont="1" applyFill="1" applyBorder="1" applyAlignment="1">
      <alignment horizontal="center" vertical="center" wrapText="1"/>
    </xf>
    <xf numFmtId="3" fontId="135" fillId="24" borderId="58" xfId="44" applyNumberFormat="1" applyFont="1" applyFill="1" applyBorder="1" applyAlignment="1">
      <alignment horizontal="center" vertical="center" wrapText="1"/>
    </xf>
    <xf numFmtId="0" fontId="98" fillId="2" borderId="57" xfId="93" applyFont="1" applyFill="1" applyBorder="1" applyAlignment="1">
      <alignment horizontal="right" vertical="center"/>
    </xf>
    <xf numFmtId="0" fontId="98" fillId="2" borderId="5" xfId="93" applyFont="1" applyFill="1" applyBorder="1" applyAlignment="1">
      <alignment horizontal="right" vertical="center"/>
    </xf>
    <xf numFmtId="0" fontId="98" fillId="2" borderId="7" xfId="93" applyFont="1" applyFill="1" applyBorder="1" applyAlignment="1">
      <alignment horizontal="right" vertical="center"/>
    </xf>
    <xf numFmtId="0" fontId="105" fillId="2" borderId="68" xfId="93" applyFont="1" applyFill="1" applyBorder="1" applyAlignment="1">
      <alignment horizontal="center" vertical="center"/>
    </xf>
    <xf numFmtId="0" fontId="105" fillId="2" borderId="60" xfId="93" applyFont="1" applyFill="1" applyBorder="1" applyAlignment="1">
      <alignment horizontal="center" vertical="center"/>
    </xf>
    <xf numFmtId="0" fontId="105" fillId="2" borderId="58" xfId="93" applyFont="1" applyFill="1" applyBorder="1" applyAlignment="1">
      <alignment horizontal="center" vertical="center"/>
    </xf>
    <xf numFmtId="0" fontId="105" fillId="2" borderId="71" xfId="93" applyFont="1" applyFill="1" applyBorder="1" applyAlignment="1">
      <alignment horizontal="center" vertical="center" textRotation="90" wrapText="1" readingOrder="2"/>
    </xf>
    <xf numFmtId="0" fontId="105" fillId="2" borderId="75" xfId="93" applyFont="1" applyFill="1" applyBorder="1" applyAlignment="1">
      <alignment horizontal="center" vertical="center" textRotation="90" wrapText="1" readingOrder="2"/>
    </xf>
    <xf numFmtId="0" fontId="105" fillId="2" borderId="59" xfId="93" applyFont="1" applyFill="1" applyBorder="1" applyAlignment="1">
      <alignment horizontal="center" vertical="center" textRotation="90" wrapText="1" readingOrder="2"/>
    </xf>
    <xf numFmtId="0" fontId="105" fillId="2" borderId="135" xfId="93" applyFont="1" applyFill="1" applyBorder="1" applyAlignment="1">
      <alignment horizontal="center" vertical="center" wrapText="1" readingOrder="2"/>
    </xf>
    <xf numFmtId="0" fontId="105" fillId="2" borderId="0" xfId="93" applyFont="1" applyFill="1" applyBorder="1" applyAlignment="1">
      <alignment horizontal="center" vertical="center" wrapText="1" readingOrder="2"/>
    </xf>
    <xf numFmtId="0" fontId="105" fillId="2" borderId="1" xfId="93" applyFont="1" applyFill="1" applyBorder="1" applyAlignment="1">
      <alignment horizontal="center" vertical="center" wrapText="1" readingOrder="2"/>
    </xf>
    <xf numFmtId="0" fontId="167" fillId="2" borderId="113" xfId="93" applyFont="1" applyFill="1" applyBorder="1" applyAlignment="1">
      <alignment horizontal="center" vertical="center" wrapText="1" readingOrder="2"/>
    </xf>
    <xf numFmtId="0" fontId="167" fillId="2" borderId="3" xfId="93" applyFont="1" applyFill="1" applyBorder="1" applyAlignment="1">
      <alignment horizontal="center" vertical="center" wrapText="1" readingOrder="2"/>
    </xf>
    <xf numFmtId="0" fontId="105" fillId="2" borderId="231" xfId="93" applyFont="1" applyFill="1" applyBorder="1" applyAlignment="1">
      <alignment horizontal="center" vertical="center" wrapText="1" readingOrder="2"/>
    </xf>
    <xf numFmtId="0" fontId="105" fillId="2" borderId="230" xfId="93" applyFont="1" applyFill="1" applyBorder="1" applyAlignment="1">
      <alignment horizontal="center" vertical="center" wrapText="1" readingOrder="2"/>
    </xf>
    <xf numFmtId="0" fontId="105" fillId="2" borderId="258" xfId="93" applyFont="1" applyFill="1" applyBorder="1" applyAlignment="1">
      <alignment horizontal="center" vertical="center" wrapText="1" readingOrder="2"/>
    </xf>
    <xf numFmtId="0" fontId="105" fillId="2" borderId="63" xfId="93" applyFont="1" applyFill="1" applyBorder="1" applyAlignment="1">
      <alignment horizontal="center" vertical="center" wrapText="1" readingOrder="2"/>
    </xf>
    <xf numFmtId="0" fontId="105" fillId="2" borderId="9" xfId="93" applyFont="1" applyFill="1" applyBorder="1" applyAlignment="1">
      <alignment horizontal="center" vertical="center" wrapText="1" readingOrder="2"/>
    </xf>
    <xf numFmtId="0" fontId="105" fillId="2" borderId="11" xfId="93" applyFont="1" applyFill="1" applyBorder="1" applyAlignment="1">
      <alignment horizontal="center" vertical="center" wrapText="1" readingOrder="2"/>
    </xf>
    <xf numFmtId="0" fontId="105" fillId="2" borderId="22" xfId="93" applyFont="1" applyFill="1" applyBorder="1" applyAlignment="1">
      <alignment horizontal="center" vertical="center" wrapText="1" readingOrder="2"/>
    </xf>
    <xf numFmtId="0" fontId="105" fillId="2" borderId="16" xfId="93" applyFont="1" applyFill="1" applyBorder="1" applyAlignment="1">
      <alignment horizontal="center" vertical="center" wrapText="1" readingOrder="2"/>
    </xf>
    <xf numFmtId="0" fontId="105" fillId="2" borderId="18" xfId="93" applyFont="1" applyFill="1" applyBorder="1" applyAlignment="1">
      <alignment horizontal="center" vertical="center" wrapText="1" readingOrder="2"/>
    </xf>
    <xf numFmtId="0" fontId="105" fillId="2" borderId="67" xfId="93" applyFont="1" applyFill="1" applyBorder="1" applyAlignment="1">
      <alignment horizontal="center" vertical="center" wrapText="1" readingOrder="2"/>
    </xf>
    <xf numFmtId="0" fontId="105" fillId="2" borderId="29" xfId="93" applyFont="1" applyFill="1" applyBorder="1" applyAlignment="1">
      <alignment horizontal="center" vertical="center" wrapText="1" readingOrder="2"/>
    </xf>
    <xf numFmtId="0" fontId="105" fillId="2" borderId="28" xfId="93" applyFont="1" applyFill="1" applyBorder="1" applyAlignment="1">
      <alignment horizontal="center" vertical="center" wrapText="1" readingOrder="2"/>
    </xf>
    <xf numFmtId="0" fontId="98" fillId="2" borderId="96" xfId="93" applyFont="1" applyFill="1" applyBorder="1" applyAlignment="1">
      <alignment horizontal="center" vertical="center" textRotation="90" wrapText="1" readingOrder="2"/>
    </xf>
    <xf numFmtId="0" fontId="98" fillId="2" borderId="117" xfId="93" applyFont="1" applyFill="1" applyBorder="1" applyAlignment="1">
      <alignment horizontal="center" vertical="center" textRotation="90" wrapText="1" readingOrder="2"/>
    </xf>
    <xf numFmtId="0" fontId="98" fillId="2" borderId="255" xfId="93" applyFont="1" applyFill="1" applyBorder="1" applyAlignment="1">
      <alignment horizontal="center" vertical="center" textRotation="90" wrapText="1" readingOrder="2"/>
    </xf>
    <xf numFmtId="0" fontId="98" fillId="2" borderId="1" xfId="93" applyFont="1" applyFill="1" applyBorder="1" applyAlignment="1">
      <alignment horizontal="center" vertical="center" textRotation="90" wrapText="1" readingOrder="2"/>
    </xf>
    <xf numFmtId="0" fontId="168" fillId="2" borderId="256" xfId="93" applyFont="1" applyFill="1" applyBorder="1" applyAlignment="1">
      <alignment horizontal="center" vertical="top" textRotation="90" wrapText="1" readingOrder="2"/>
    </xf>
    <xf numFmtId="0" fontId="168" fillId="2" borderId="36" xfId="93" applyFont="1" applyFill="1" applyBorder="1" applyAlignment="1">
      <alignment horizontal="center" vertical="top" textRotation="90" wrapText="1" readingOrder="2"/>
    </xf>
    <xf numFmtId="0" fontId="168" fillId="2" borderId="257" xfId="93" applyFont="1" applyFill="1" applyBorder="1" applyAlignment="1">
      <alignment horizontal="center" vertical="center" textRotation="90" wrapText="1" readingOrder="2"/>
    </xf>
    <xf numFmtId="0" fontId="168" fillId="2" borderId="116" xfId="93" applyFont="1" applyFill="1" applyBorder="1" applyAlignment="1">
      <alignment horizontal="center" vertical="center" textRotation="90" wrapText="1" readingOrder="2"/>
    </xf>
    <xf numFmtId="0" fontId="98" fillId="2" borderId="92" xfId="93" applyFont="1" applyFill="1" applyBorder="1" applyAlignment="1">
      <alignment horizontal="right" vertical="center" wrapText="1"/>
    </xf>
    <xf numFmtId="0" fontId="98" fillId="2" borderId="60" xfId="93" applyFont="1" applyFill="1" applyBorder="1" applyAlignment="1">
      <alignment horizontal="right" vertical="center" wrapText="1"/>
    </xf>
    <xf numFmtId="0" fontId="98" fillId="2" borderId="58" xfId="93" applyFont="1" applyFill="1" applyBorder="1" applyAlignment="1">
      <alignment horizontal="right" vertical="center" wrapText="1"/>
    </xf>
    <xf numFmtId="0" fontId="98" fillId="2" borderId="57" xfId="93" applyFont="1" applyFill="1" applyBorder="1" applyAlignment="1">
      <alignment horizontal="right" vertical="center" wrapText="1"/>
    </xf>
    <xf numFmtId="0" fontId="98" fillId="2" borderId="5" xfId="93" applyFont="1" applyFill="1" applyBorder="1" applyAlignment="1">
      <alignment horizontal="right" vertical="center" wrapText="1"/>
    </xf>
    <xf numFmtId="0" fontId="98" fillId="2" borderId="7" xfId="93" applyFont="1" applyFill="1" applyBorder="1" applyAlignment="1">
      <alignment horizontal="right" vertical="center" wrapText="1"/>
    </xf>
    <xf numFmtId="0" fontId="98" fillId="2" borderId="60" xfId="93" applyFont="1" applyFill="1" applyBorder="1" applyAlignment="1">
      <alignment horizontal="right" vertical="center"/>
    </xf>
    <xf numFmtId="0" fontId="98" fillId="2" borderId="58" xfId="93" applyFont="1" applyFill="1" applyBorder="1" applyAlignment="1">
      <alignment horizontal="right" vertical="center"/>
    </xf>
    <xf numFmtId="0" fontId="104" fillId="2" borderId="68" xfId="93" applyFont="1" applyFill="1" applyBorder="1" applyAlignment="1">
      <alignment horizontal="center" vertical="center" wrapText="1" readingOrder="2"/>
    </xf>
    <xf numFmtId="0" fontId="104" fillId="2" borderId="60" xfId="93" applyFont="1" applyFill="1" applyBorder="1" applyAlignment="1">
      <alignment horizontal="center" vertical="center" wrapText="1" readingOrder="2"/>
    </xf>
    <xf numFmtId="0" fontId="104" fillId="2" borderId="91" xfId="93" applyFont="1" applyFill="1" applyBorder="1" applyAlignment="1">
      <alignment horizontal="center" vertical="center" wrapText="1" readingOrder="2"/>
    </xf>
    <xf numFmtId="0" fontId="4" fillId="2" borderId="57" xfId="93" applyFont="1" applyFill="1" applyBorder="1" applyAlignment="1">
      <alignment horizontal="center"/>
    </xf>
    <xf numFmtId="0" fontId="4" fillId="2" borderId="5" xfId="93" applyFont="1" applyFill="1" applyBorder="1" applyAlignment="1">
      <alignment horizontal="center"/>
    </xf>
    <xf numFmtId="0" fontId="4" fillId="2" borderId="7" xfId="93" applyFont="1" applyFill="1" applyBorder="1" applyAlignment="1">
      <alignment horizontal="center"/>
    </xf>
    <xf numFmtId="0" fontId="7" fillId="0" borderId="3" xfId="106" applyFont="1" applyBorder="1" applyAlignment="1">
      <alignment horizontal="right" vertical="center"/>
    </xf>
    <xf numFmtId="0" fontId="23" fillId="10" borderId="68" xfId="2" applyFont="1" applyFill="1" applyBorder="1" applyAlignment="1">
      <alignment horizontal="center" vertical="center"/>
    </xf>
    <xf numFmtId="0" fontId="23" fillId="10" borderId="58" xfId="2" applyFont="1" applyFill="1" applyBorder="1" applyAlignment="1">
      <alignment horizontal="center" vertical="center"/>
    </xf>
    <xf numFmtId="0" fontId="94" fillId="2" borderId="0" xfId="2" applyFont="1" applyFill="1" applyAlignment="1">
      <alignment horizontal="center" vertical="center"/>
    </xf>
    <xf numFmtId="0" fontId="94" fillId="2" borderId="1" xfId="2" applyFont="1" applyFill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45" xfId="1" applyFont="1" applyBorder="1" applyAlignment="1">
      <alignment horizontal="center"/>
    </xf>
    <xf numFmtId="0" fontId="17" fillId="0" borderId="0" xfId="106" applyFont="1" applyFill="1" applyBorder="1" applyAlignment="1">
      <alignment horizontal="center" vertical="center"/>
    </xf>
    <xf numFmtId="0" fontId="94" fillId="0" borderId="0" xfId="2" applyFont="1" applyFill="1" applyAlignment="1">
      <alignment horizontal="center" vertical="center"/>
    </xf>
    <xf numFmtId="0" fontId="23" fillId="10" borderId="60" xfId="2" applyFont="1" applyFill="1" applyBorder="1" applyAlignment="1">
      <alignment horizontal="center" vertical="center"/>
    </xf>
    <xf numFmtId="0" fontId="7" fillId="0" borderId="3" xfId="106" applyFont="1" applyFill="1" applyBorder="1" applyAlignment="1">
      <alignment horizontal="right" vertical="center"/>
    </xf>
    <xf numFmtId="0" fontId="94" fillId="2" borderId="0" xfId="2" applyFont="1" applyFill="1" applyBorder="1" applyAlignment="1">
      <alignment horizontal="center" vertical="center"/>
    </xf>
    <xf numFmtId="0" fontId="12" fillId="10" borderId="57" xfId="2" applyFont="1" applyFill="1" applyBorder="1" applyAlignment="1">
      <alignment horizontal="center" vertical="center"/>
    </xf>
    <xf numFmtId="0" fontId="12" fillId="10" borderId="6" xfId="2" applyFont="1" applyFill="1" applyBorder="1" applyAlignment="1">
      <alignment horizontal="center" vertical="center"/>
    </xf>
    <xf numFmtId="0" fontId="10" fillId="0" borderId="74" xfId="1" applyFont="1" applyBorder="1" applyAlignment="1">
      <alignment horizontal="center"/>
    </xf>
    <xf numFmtId="0" fontId="10" fillId="0" borderId="76" xfId="1" applyFont="1" applyBorder="1" applyAlignment="1">
      <alignment horizontal="center"/>
    </xf>
    <xf numFmtId="0" fontId="10" fillId="0" borderId="86" xfId="1" applyFont="1" applyBorder="1" applyAlignment="1">
      <alignment horizontal="center"/>
    </xf>
    <xf numFmtId="0" fontId="7" fillId="0" borderId="0" xfId="106" applyFont="1" applyFill="1" applyBorder="1" applyAlignment="1">
      <alignment horizontal="right" vertical="center"/>
    </xf>
    <xf numFmtId="1" fontId="120" fillId="0" borderId="66" xfId="104" applyNumberFormat="1" applyFont="1" applyFill="1" applyBorder="1" applyAlignment="1">
      <alignment horizontal="center" vertical="center"/>
    </xf>
    <xf numFmtId="1" fontId="120" fillId="0" borderId="64" xfId="104" applyNumberFormat="1" applyFont="1" applyFill="1" applyBorder="1" applyAlignment="1">
      <alignment horizontal="center" vertical="center"/>
    </xf>
    <xf numFmtId="1" fontId="120" fillId="0" borderId="54" xfId="104" applyNumberFormat="1" applyFont="1" applyFill="1" applyBorder="1" applyAlignment="1">
      <alignment horizontal="center" vertical="center"/>
    </xf>
    <xf numFmtId="1" fontId="81" fillId="0" borderId="68" xfId="105" applyNumberFormat="1" applyFont="1" applyFill="1" applyBorder="1" applyAlignment="1">
      <alignment horizontal="center" vertical="center"/>
    </xf>
    <xf numFmtId="1" fontId="81" fillId="0" borderId="60" xfId="105" applyNumberFormat="1" applyFont="1" applyFill="1" applyBorder="1" applyAlignment="1">
      <alignment horizontal="center" vertical="center"/>
    </xf>
    <xf numFmtId="1" fontId="81" fillId="0" borderId="58" xfId="105" applyNumberFormat="1" applyFont="1" applyFill="1" applyBorder="1" applyAlignment="1">
      <alignment horizontal="center" vertical="center"/>
    </xf>
    <xf numFmtId="0" fontId="17" fillId="0" borderId="0" xfId="106" applyFont="1" applyAlignment="1">
      <alignment horizontal="center" vertical="center"/>
    </xf>
    <xf numFmtId="0" fontId="23" fillId="0" borderId="0" xfId="1" applyFont="1" applyFill="1" applyAlignment="1">
      <alignment horizontal="right" vertical="center"/>
    </xf>
    <xf numFmtId="0" fontId="81" fillId="0" borderId="0" xfId="1" applyFont="1" applyFill="1" applyAlignment="1">
      <alignment horizontal="right" vertical="center" wrapText="1" readingOrder="2"/>
    </xf>
    <xf numFmtId="0" fontId="81" fillId="0" borderId="0" xfId="1" applyFont="1" applyFill="1" applyAlignment="1">
      <alignment horizontal="right" vertical="center" wrapText="1"/>
    </xf>
    <xf numFmtId="0" fontId="58" fillId="0" borderId="0" xfId="1" applyFont="1" applyFill="1" applyAlignment="1">
      <alignment horizontal="center" vertical="justify"/>
    </xf>
    <xf numFmtId="0" fontId="56" fillId="0" borderId="1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46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69" xfId="1" applyFont="1" applyFill="1" applyBorder="1" applyAlignment="1">
      <alignment horizontal="center" vertical="center"/>
    </xf>
    <xf numFmtId="0" fontId="184" fillId="0" borderId="3" xfId="1" applyFont="1" applyFill="1" applyBorder="1" applyAlignment="1">
      <alignment horizontal="center" vertical="center" wrapText="1"/>
    </xf>
    <xf numFmtId="0" fontId="184" fillId="0" borderId="0" xfId="1" applyFont="1" applyFill="1" applyBorder="1" applyAlignment="1">
      <alignment horizontal="center" vertical="center" wrapText="1"/>
    </xf>
    <xf numFmtId="0" fontId="184" fillId="0" borderId="4" xfId="1" applyFont="1" applyFill="1" applyBorder="1" applyAlignment="1">
      <alignment horizontal="center" vertical="center" wrapText="1"/>
    </xf>
    <xf numFmtId="0" fontId="184" fillId="0" borderId="6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57" fillId="0" borderId="0" xfId="1" applyFont="1" applyFill="1" applyAlignment="1">
      <alignment horizontal="right" vertical="center" wrapText="1" readingOrder="2"/>
    </xf>
    <xf numFmtId="0" fontId="57" fillId="0" borderId="0" xfId="1" applyFont="1" applyFill="1" applyAlignment="1">
      <alignment horizontal="right" vertical="center" wrapText="1"/>
    </xf>
    <xf numFmtId="0" fontId="7" fillId="10" borderId="0" xfId="1" applyFont="1" applyFill="1" applyAlignment="1">
      <alignment horizontal="right"/>
    </xf>
    <xf numFmtId="0" fontId="17" fillId="0" borderId="15" xfId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/>
    </xf>
    <xf numFmtId="9" fontId="76" fillId="0" borderId="16" xfId="94" applyFont="1" applyFill="1" applyBorder="1" applyAlignment="1">
      <alignment horizontal="center" vertical="center"/>
    </xf>
    <xf numFmtId="9" fontId="76" fillId="0" borderId="18" xfId="94" applyFont="1" applyFill="1" applyBorder="1" applyAlignment="1">
      <alignment horizontal="center" vertical="center"/>
    </xf>
    <xf numFmtId="0" fontId="17" fillId="0" borderId="53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43" fillId="0" borderId="0" xfId="1" applyFont="1" applyFill="1" applyAlignment="1">
      <alignment horizontal="center"/>
    </xf>
    <xf numFmtId="0" fontId="62" fillId="0" borderId="1" xfId="1" applyFont="1" applyFill="1" applyBorder="1" applyAlignment="1">
      <alignment horizontal="left"/>
    </xf>
    <xf numFmtId="0" fontId="23" fillId="0" borderId="3" xfId="1" applyFont="1" applyFill="1" applyBorder="1" applyAlignment="1">
      <alignment horizontal="center" vertical="justify" wrapText="1"/>
    </xf>
    <xf numFmtId="0" fontId="23" fillId="0" borderId="69" xfId="1" applyFont="1" applyFill="1" applyBorder="1" applyAlignment="1">
      <alignment horizontal="center" vertical="justify" wrapText="1"/>
    </xf>
    <xf numFmtId="0" fontId="17" fillId="0" borderId="8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9" fontId="76" fillId="0" borderId="9" xfId="94" applyFont="1" applyFill="1" applyBorder="1" applyAlignment="1">
      <alignment horizontal="center" vertical="center"/>
    </xf>
    <xf numFmtId="9" fontId="76" fillId="0" borderId="11" xfId="94" applyFont="1" applyFill="1" applyBorder="1" applyAlignment="1">
      <alignment horizontal="center" vertical="center"/>
    </xf>
  </cellXfs>
  <cellStyles count="349">
    <cellStyle name="20% - Accent1 2" xfId="196" xr:uid="{00000000-0005-0000-0000-000000000000}"/>
    <cellStyle name="20% - Accent2 2" xfId="197" xr:uid="{00000000-0005-0000-0000-000001000000}"/>
    <cellStyle name="20% - Accent3 2" xfId="198" xr:uid="{00000000-0005-0000-0000-000002000000}"/>
    <cellStyle name="20% - Accent4 2" xfId="199" xr:uid="{00000000-0005-0000-0000-000003000000}"/>
    <cellStyle name="20% - Accent5 2" xfId="200" xr:uid="{00000000-0005-0000-0000-000004000000}"/>
    <cellStyle name="20% - Accent6 2" xfId="201" xr:uid="{00000000-0005-0000-0000-000005000000}"/>
    <cellStyle name="40% - Accent1 2" xfId="202" xr:uid="{00000000-0005-0000-0000-000006000000}"/>
    <cellStyle name="40% - Accent2 2" xfId="203" xr:uid="{00000000-0005-0000-0000-000007000000}"/>
    <cellStyle name="40% - Accent3 2" xfId="204" xr:uid="{00000000-0005-0000-0000-000008000000}"/>
    <cellStyle name="40% - Accent4 2" xfId="205" xr:uid="{00000000-0005-0000-0000-000009000000}"/>
    <cellStyle name="40% - Accent5 2" xfId="206" xr:uid="{00000000-0005-0000-0000-00000A000000}"/>
    <cellStyle name="40% - Accent6 2" xfId="207" xr:uid="{00000000-0005-0000-0000-00000B000000}"/>
    <cellStyle name="60% - Accent1 2" xfId="208" xr:uid="{00000000-0005-0000-0000-00000C000000}"/>
    <cellStyle name="60% - Accent2 2" xfId="209" xr:uid="{00000000-0005-0000-0000-00000D000000}"/>
    <cellStyle name="60% - Accent3 2" xfId="210" xr:uid="{00000000-0005-0000-0000-00000E000000}"/>
    <cellStyle name="60% - Accent4 2" xfId="211" xr:uid="{00000000-0005-0000-0000-00000F000000}"/>
    <cellStyle name="60% - Accent5 2" xfId="212" xr:uid="{00000000-0005-0000-0000-000010000000}"/>
    <cellStyle name="60% - Accent6 2" xfId="213" xr:uid="{00000000-0005-0000-0000-000011000000}"/>
    <cellStyle name="Accent1 2" xfId="214" xr:uid="{00000000-0005-0000-0000-000012000000}"/>
    <cellStyle name="Accent2 2" xfId="215" xr:uid="{00000000-0005-0000-0000-000013000000}"/>
    <cellStyle name="Accent3 2" xfId="216" xr:uid="{00000000-0005-0000-0000-000014000000}"/>
    <cellStyle name="Accent4 2" xfId="217" xr:uid="{00000000-0005-0000-0000-000015000000}"/>
    <cellStyle name="Accent5 2" xfId="218" xr:uid="{00000000-0005-0000-0000-000016000000}"/>
    <cellStyle name="Accent6 2" xfId="219" xr:uid="{00000000-0005-0000-0000-000017000000}"/>
    <cellStyle name="Bad 2" xfId="220" xr:uid="{00000000-0005-0000-0000-000018000000}"/>
    <cellStyle name="Calculation 2" xfId="221" xr:uid="{00000000-0005-0000-0000-000019000000}"/>
    <cellStyle name="Calculation 2 2" xfId="322" xr:uid="{00000000-0005-0000-0000-00001A000000}"/>
    <cellStyle name="Check Cell 2" xfId="222" xr:uid="{00000000-0005-0000-0000-00001B000000}"/>
    <cellStyle name="Comma 2" xfId="97" xr:uid="{00000000-0005-0000-0000-00001C000000}"/>
    <cellStyle name="Comma 2 2" xfId="224" xr:uid="{00000000-0005-0000-0000-00001D000000}"/>
    <cellStyle name="Comma 2 2 2" xfId="324" xr:uid="{00000000-0005-0000-0000-00001E000000}"/>
    <cellStyle name="Comma 2 2 3" xfId="325" xr:uid="{00000000-0005-0000-0000-00001F000000}"/>
    <cellStyle name="Comma 2 2 4" xfId="323" xr:uid="{00000000-0005-0000-0000-000020000000}"/>
    <cellStyle name="Comma 2 3" xfId="223" xr:uid="{00000000-0005-0000-0000-000021000000}"/>
    <cellStyle name="Comma 3" xfId="225" xr:uid="{00000000-0005-0000-0000-000022000000}"/>
    <cellStyle name="Comma 3 2" xfId="327" xr:uid="{00000000-0005-0000-0000-000023000000}"/>
    <cellStyle name="Comma 3 3" xfId="328" xr:uid="{00000000-0005-0000-0000-000024000000}"/>
    <cellStyle name="Comma 3 4" xfId="13" xr:uid="{00000000-0005-0000-0000-000025000000}"/>
    <cellStyle name="Comma 3 4 2" xfId="326" xr:uid="{00000000-0005-0000-0000-000026000000}"/>
    <cellStyle name="Comma 3 6" xfId="29" xr:uid="{00000000-0005-0000-0000-000027000000}"/>
    <cellStyle name="Comma 4" xfId="20" xr:uid="{00000000-0005-0000-0000-000028000000}"/>
    <cellStyle name="Comma 5" xfId="345" xr:uid="{00000000-0005-0000-0000-000029000000}"/>
    <cellStyle name="Comma 5 2" xfId="336" xr:uid="{00000000-0005-0000-0000-00002A000000}"/>
    <cellStyle name="Currency 2" xfId="3" xr:uid="{00000000-0005-0000-0000-00002B000000}"/>
    <cellStyle name="Euro" xfId="226" xr:uid="{00000000-0005-0000-0000-00002C000000}"/>
    <cellStyle name="Euro 10" xfId="227" xr:uid="{00000000-0005-0000-0000-00002D000000}"/>
    <cellStyle name="Euro 10 2" xfId="228" xr:uid="{00000000-0005-0000-0000-00002E000000}"/>
    <cellStyle name="Euro 11" xfId="229" xr:uid="{00000000-0005-0000-0000-00002F000000}"/>
    <cellStyle name="Euro 11 2" xfId="230" xr:uid="{00000000-0005-0000-0000-000030000000}"/>
    <cellStyle name="Euro 12" xfId="231" xr:uid="{00000000-0005-0000-0000-000031000000}"/>
    <cellStyle name="Euro 12 2" xfId="232" xr:uid="{00000000-0005-0000-0000-000032000000}"/>
    <cellStyle name="Euro 13" xfId="233" xr:uid="{00000000-0005-0000-0000-000033000000}"/>
    <cellStyle name="Euro 13 2" xfId="234" xr:uid="{00000000-0005-0000-0000-000034000000}"/>
    <cellStyle name="Euro 14" xfId="235" xr:uid="{00000000-0005-0000-0000-000035000000}"/>
    <cellStyle name="Euro 14 2" xfId="236" xr:uid="{00000000-0005-0000-0000-000036000000}"/>
    <cellStyle name="Euro 15" xfId="237" xr:uid="{00000000-0005-0000-0000-000037000000}"/>
    <cellStyle name="Euro 15 2" xfId="238" xr:uid="{00000000-0005-0000-0000-000038000000}"/>
    <cellStyle name="Euro 16" xfId="239" xr:uid="{00000000-0005-0000-0000-000039000000}"/>
    <cellStyle name="Euro 16 2" xfId="240" xr:uid="{00000000-0005-0000-0000-00003A000000}"/>
    <cellStyle name="Euro 17" xfId="241" xr:uid="{00000000-0005-0000-0000-00003B000000}"/>
    <cellStyle name="Euro 17 2" xfId="242" xr:uid="{00000000-0005-0000-0000-00003C000000}"/>
    <cellStyle name="Euro 18" xfId="243" xr:uid="{00000000-0005-0000-0000-00003D000000}"/>
    <cellStyle name="Euro 18 2" xfId="244" xr:uid="{00000000-0005-0000-0000-00003E000000}"/>
    <cellStyle name="Euro 2" xfId="245" xr:uid="{00000000-0005-0000-0000-00003F000000}"/>
    <cellStyle name="Euro 2 2" xfId="246" xr:uid="{00000000-0005-0000-0000-000040000000}"/>
    <cellStyle name="Euro 3" xfId="247" xr:uid="{00000000-0005-0000-0000-000041000000}"/>
    <cellStyle name="Euro 3 2" xfId="248" xr:uid="{00000000-0005-0000-0000-000042000000}"/>
    <cellStyle name="Euro 4" xfId="249" xr:uid="{00000000-0005-0000-0000-000043000000}"/>
    <cellStyle name="Euro 4 2" xfId="250" xr:uid="{00000000-0005-0000-0000-000044000000}"/>
    <cellStyle name="Euro 5" xfId="251" xr:uid="{00000000-0005-0000-0000-000045000000}"/>
    <cellStyle name="Euro 5 2" xfId="252" xr:uid="{00000000-0005-0000-0000-000046000000}"/>
    <cellStyle name="Euro 6" xfId="253" xr:uid="{00000000-0005-0000-0000-000047000000}"/>
    <cellStyle name="Euro 6 2" xfId="254" xr:uid="{00000000-0005-0000-0000-000048000000}"/>
    <cellStyle name="Euro 7" xfId="255" xr:uid="{00000000-0005-0000-0000-000049000000}"/>
    <cellStyle name="Euro 7 2" xfId="256" xr:uid="{00000000-0005-0000-0000-00004A000000}"/>
    <cellStyle name="Euro 8" xfId="257" xr:uid="{00000000-0005-0000-0000-00004B000000}"/>
    <cellStyle name="Euro 8 2" xfId="258" xr:uid="{00000000-0005-0000-0000-00004C000000}"/>
    <cellStyle name="Euro 9" xfId="259" xr:uid="{00000000-0005-0000-0000-00004D000000}"/>
    <cellStyle name="Euro 9 2" xfId="260" xr:uid="{00000000-0005-0000-0000-00004E000000}"/>
    <cellStyle name="Explanatory Text 2" xfId="261" xr:uid="{00000000-0005-0000-0000-00004F000000}"/>
    <cellStyle name="Good 2" xfId="262" xr:uid="{00000000-0005-0000-0000-000050000000}"/>
    <cellStyle name="Heading 1 2" xfId="263" xr:uid="{00000000-0005-0000-0000-000051000000}"/>
    <cellStyle name="Heading 2 2" xfId="264" xr:uid="{00000000-0005-0000-0000-000052000000}"/>
    <cellStyle name="Heading 3 2" xfId="265" xr:uid="{00000000-0005-0000-0000-000053000000}"/>
    <cellStyle name="Heading 4 2" xfId="266" xr:uid="{00000000-0005-0000-0000-000054000000}"/>
    <cellStyle name="Hyperlink" xfId="100" builtinId="8"/>
    <cellStyle name="Input 2" xfId="267" xr:uid="{00000000-0005-0000-0000-000056000000}"/>
    <cellStyle name="Input 2 2" xfId="329" xr:uid="{00000000-0005-0000-0000-000057000000}"/>
    <cellStyle name="Linked Cell 2" xfId="268" xr:uid="{00000000-0005-0000-0000-000058000000}"/>
    <cellStyle name="Neutral 2" xfId="269" xr:uid="{00000000-0005-0000-0000-000059000000}"/>
    <cellStyle name="Normal" xfId="0" builtinId="0"/>
    <cellStyle name="Normal 10" xfId="330" xr:uid="{00000000-0005-0000-0000-00005B000000}"/>
    <cellStyle name="Normal 10 2" xfId="270" xr:uid="{00000000-0005-0000-0000-00005C000000}"/>
    <cellStyle name="Normal 10 2 2" xfId="101" xr:uid="{00000000-0005-0000-0000-00005D000000}"/>
    <cellStyle name="Normal 10 2 2 2" xfId="148" xr:uid="{00000000-0005-0000-0000-00005E000000}"/>
    <cellStyle name="Normal 10 2 4" xfId="110" xr:uid="{00000000-0005-0000-0000-00005F000000}"/>
    <cellStyle name="Normal 10 2 5" xfId="43" xr:uid="{00000000-0005-0000-0000-000060000000}"/>
    <cellStyle name="Normal 100" xfId="93" xr:uid="{00000000-0005-0000-0000-000061000000}"/>
    <cellStyle name="Normal 100 2" xfId="193" xr:uid="{00000000-0005-0000-0000-000062000000}"/>
    <cellStyle name="Normal 102 2" xfId="41" xr:uid="{00000000-0005-0000-0000-000063000000}"/>
    <cellStyle name="Normal 103" xfId="31" xr:uid="{00000000-0005-0000-0000-000064000000}"/>
    <cellStyle name="Normal 103 2" xfId="33" xr:uid="{00000000-0005-0000-0000-000065000000}"/>
    <cellStyle name="Normal 103 2 2" xfId="108" xr:uid="{00000000-0005-0000-0000-000066000000}"/>
    <cellStyle name="Normal 103 2 3" xfId="195" xr:uid="{00000000-0005-0000-0000-000067000000}"/>
    <cellStyle name="Normal 103 2 4" xfId="347" xr:uid="{00000000-0005-0000-0000-000068000000}"/>
    <cellStyle name="Normal 103 3" xfId="194" xr:uid="{00000000-0005-0000-0000-000069000000}"/>
    <cellStyle name="Normal 105 2" xfId="335" xr:uid="{00000000-0005-0000-0000-00006A000000}"/>
    <cellStyle name="Normal 105 2 2" xfId="337" xr:uid="{00000000-0005-0000-0000-00006B000000}"/>
    <cellStyle name="Normal 106" xfId="25" xr:uid="{00000000-0005-0000-0000-00006C000000}"/>
    <cellStyle name="Normal 107" xfId="35" xr:uid="{00000000-0005-0000-0000-00006D000000}"/>
    <cellStyle name="Normal 109" xfId="334" xr:uid="{00000000-0005-0000-0000-00006E000000}"/>
    <cellStyle name="Normal 109 2" xfId="34" xr:uid="{00000000-0005-0000-0000-00006F000000}"/>
    <cellStyle name="Normal 11" xfId="109" xr:uid="{00000000-0005-0000-0000-000070000000}"/>
    <cellStyle name="Normal 11 2" xfId="48" xr:uid="{00000000-0005-0000-0000-000071000000}"/>
    <cellStyle name="Normal 12" xfId="115" xr:uid="{00000000-0005-0000-0000-000072000000}"/>
    <cellStyle name="Normal 12 2" xfId="271" xr:uid="{00000000-0005-0000-0000-000073000000}"/>
    <cellStyle name="Normal 12 3" xfId="22" xr:uid="{00000000-0005-0000-0000-000074000000}"/>
    <cellStyle name="Normal 13" xfId="117" xr:uid="{00000000-0005-0000-0000-000075000000}"/>
    <cellStyle name="Normal 13 2" xfId="272" xr:uid="{00000000-0005-0000-0000-000076000000}"/>
    <cellStyle name="Normal 13 3" xfId="28" xr:uid="{00000000-0005-0000-0000-000077000000}"/>
    <cellStyle name="Normal 14" xfId="119" xr:uid="{00000000-0005-0000-0000-000078000000}"/>
    <cellStyle name="Normal 14 2" xfId="273" xr:uid="{00000000-0005-0000-0000-000079000000}"/>
    <cellStyle name="Normal 15" xfId="120" xr:uid="{00000000-0005-0000-0000-00007A000000}"/>
    <cellStyle name="Normal 15 2" xfId="274" xr:uid="{00000000-0005-0000-0000-00007B000000}"/>
    <cellStyle name="Normal 16" xfId="118" xr:uid="{00000000-0005-0000-0000-00007C000000}"/>
    <cellStyle name="Normal 16 2" xfId="275" xr:uid="{00000000-0005-0000-0000-00007D000000}"/>
    <cellStyle name="Normal 17" xfId="122" xr:uid="{00000000-0005-0000-0000-00007E000000}"/>
    <cellStyle name="Normal 17 2" xfId="276" xr:uid="{00000000-0005-0000-0000-00007F000000}"/>
    <cellStyle name="Normal 18" xfId="123" xr:uid="{00000000-0005-0000-0000-000080000000}"/>
    <cellStyle name="Normal 18 2" xfId="277" xr:uid="{00000000-0005-0000-0000-000081000000}"/>
    <cellStyle name="Normal 19" xfId="121" xr:uid="{00000000-0005-0000-0000-000082000000}"/>
    <cellStyle name="Normal 19 2" xfId="278" xr:uid="{00000000-0005-0000-0000-000083000000}"/>
    <cellStyle name="Normal 2" xfId="1" xr:uid="{00000000-0005-0000-0000-000084000000}"/>
    <cellStyle name="Normal 2 10" xfId="5" xr:uid="{00000000-0005-0000-0000-000085000000}"/>
    <cellStyle name="Normal 2 11" xfId="37" xr:uid="{00000000-0005-0000-0000-000086000000}"/>
    <cellStyle name="Normal 2 2" xfId="2" xr:uid="{00000000-0005-0000-0000-000087000000}"/>
    <cellStyle name="Normal 2 2 2" xfId="40" xr:uid="{00000000-0005-0000-0000-000088000000}"/>
    <cellStyle name="Normal 2 2 2 3 2 2" xfId="45" xr:uid="{00000000-0005-0000-0000-000089000000}"/>
    <cellStyle name="Normal 2 2 3" xfId="103" xr:uid="{00000000-0005-0000-0000-00008A000000}"/>
    <cellStyle name="Normal 2 2_ishan 2" xfId="42" xr:uid="{00000000-0005-0000-0000-00008B000000}"/>
    <cellStyle name="Normal 2 3" xfId="46" xr:uid="{00000000-0005-0000-0000-00008C000000}"/>
    <cellStyle name="Normal 2 3 2" xfId="341" xr:uid="{00000000-0005-0000-0000-00008D000000}"/>
    <cellStyle name="Normal 2 3 3" xfId="340" xr:uid="{00000000-0005-0000-0000-00008E000000}"/>
    <cellStyle name="Normal 2 4" xfId="342" xr:uid="{00000000-0005-0000-0000-00008F000000}"/>
    <cellStyle name="Normal 2 5" xfId="343" xr:uid="{00000000-0005-0000-0000-000090000000}"/>
    <cellStyle name="Normal 2 6" xfId="21" xr:uid="{00000000-0005-0000-0000-000091000000}"/>
    <cellStyle name="Normal 2_90-دفتر آمار و فناوری 2" xfId="44" xr:uid="{00000000-0005-0000-0000-000092000000}"/>
    <cellStyle name="Normal 20" xfId="124" xr:uid="{00000000-0005-0000-0000-000093000000}"/>
    <cellStyle name="Normal 20 2" xfId="279" xr:uid="{00000000-0005-0000-0000-000094000000}"/>
    <cellStyle name="Normal 21" xfId="126" xr:uid="{00000000-0005-0000-0000-000095000000}"/>
    <cellStyle name="Normal 21 2" xfId="280" xr:uid="{00000000-0005-0000-0000-000096000000}"/>
    <cellStyle name="Normal 22" xfId="128" xr:uid="{00000000-0005-0000-0000-000097000000}"/>
    <cellStyle name="Normal 22 2" xfId="281" xr:uid="{00000000-0005-0000-0000-000098000000}"/>
    <cellStyle name="Normal 23" xfId="125" xr:uid="{00000000-0005-0000-0000-000099000000}"/>
    <cellStyle name="Normal 23 2" xfId="282" xr:uid="{00000000-0005-0000-0000-00009A000000}"/>
    <cellStyle name="Normal 24" xfId="129" xr:uid="{00000000-0005-0000-0000-00009B000000}"/>
    <cellStyle name="Normal 24 2" xfId="283" xr:uid="{00000000-0005-0000-0000-00009C000000}"/>
    <cellStyle name="Normal 25" xfId="23" xr:uid="{00000000-0005-0000-0000-00009D000000}"/>
    <cellStyle name="Normal 26" xfId="8" xr:uid="{00000000-0005-0000-0000-00009E000000}"/>
    <cellStyle name="Normal 26 2" xfId="30" xr:uid="{00000000-0005-0000-0000-00009F000000}"/>
    <cellStyle name="Normal 27" xfId="50" xr:uid="{00000000-0005-0000-0000-0000A0000000}"/>
    <cellStyle name="Normal 27 2" xfId="150" xr:uid="{00000000-0005-0000-0000-0000A1000000}"/>
    <cellStyle name="Normal 28" xfId="130" xr:uid="{00000000-0005-0000-0000-0000A2000000}"/>
    <cellStyle name="Normal 28 2" xfId="284" xr:uid="{00000000-0005-0000-0000-0000A3000000}"/>
    <cellStyle name="Normal 29" xfId="49" xr:uid="{00000000-0005-0000-0000-0000A4000000}"/>
    <cellStyle name="Normal 29 2" xfId="149" xr:uid="{00000000-0005-0000-0000-0000A5000000}"/>
    <cellStyle name="Normal 3" xfId="7" xr:uid="{00000000-0005-0000-0000-0000A6000000}"/>
    <cellStyle name="Normal 3 2" xfId="285" xr:uid="{00000000-0005-0000-0000-0000A7000000}"/>
    <cellStyle name="Normal 3 2 2" xfId="286" xr:uid="{00000000-0005-0000-0000-0000A8000000}"/>
    <cellStyle name="Normal 3 3" xfId="287" xr:uid="{00000000-0005-0000-0000-0000A9000000}"/>
    <cellStyle name="Normal 3 3 2" xfId="106" xr:uid="{00000000-0005-0000-0000-0000AA000000}"/>
    <cellStyle name="Normal 3 4" xfId="288" xr:uid="{00000000-0005-0000-0000-0000AB000000}"/>
    <cellStyle name="Normal 3 4 2" xfId="289" xr:uid="{00000000-0005-0000-0000-0000AC000000}"/>
    <cellStyle name="Normal 3 5" xfId="111" xr:uid="{00000000-0005-0000-0000-0000AD000000}"/>
    <cellStyle name="Normal 3 6" xfId="99" xr:uid="{00000000-0005-0000-0000-0000AE000000}"/>
    <cellStyle name="Normal 30" xfId="135" xr:uid="{00000000-0005-0000-0000-0000AF000000}"/>
    <cellStyle name="Normal 30 2" xfId="290" xr:uid="{00000000-0005-0000-0000-0000B0000000}"/>
    <cellStyle name="Normal 31" xfId="134" xr:uid="{00000000-0005-0000-0000-0000B1000000}"/>
    <cellStyle name="Normal 31 2" xfId="291" xr:uid="{00000000-0005-0000-0000-0000B2000000}"/>
    <cellStyle name="Normal 32" xfId="137" xr:uid="{00000000-0005-0000-0000-0000B3000000}"/>
    <cellStyle name="Normal 32 2" xfId="292" xr:uid="{00000000-0005-0000-0000-0000B4000000}"/>
    <cellStyle name="Normal 33" xfId="139" xr:uid="{00000000-0005-0000-0000-0000B5000000}"/>
    <cellStyle name="Normal 33 2" xfId="293" xr:uid="{00000000-0005-0000-0000-0000B6000000}"/>
    <cellStyle name="Normal 34" xfId="140" xr:uid="{00000000-0005-0000-0000-0000B7000000}"/>
    <cellStyle name="Normal 34 2" xfId="294" xr:uid="{00000000-0005-0000-0000-0000B8000000}"/>
    <cellStyle name="Normal 35" xfId="138" xr:uid="{00000000-0005-0000-0000-0000B9000000}"/>
    <cellStyle name="Normal 35 2" xfId="295" xr:uid="{00000000-0005-0000-0000-0000BA000000}"/>
    <cellStyle name="Normal 36" xfId="142" xr:uid="{00000000-0005-0000-0000-0000BB000000}"/>
    <cellStyle name="Normal 36 2" xfId="296" xr:uid="{00000000-0005-0000-0000-0000BC000000}"/>
    <cellStyle name="Normal 37" xfId="143" xr:uid="{00000000-0005-0000-0000-0000BD000000}"/>
    <cellStyle name="Normal 37 2" xfId="297" xr:uid="{00000000-0005-0000-0000-0000BE000000}"/>
    <cellStyle name="Normal 38" xfId="141" xr:uid="{00000000-0005-0000-0000-0000BF000000}"/>
    <cellStyle name="Normal 38 2" xfId="298" xr:uid="{00000000-0005-0000-0000-0000C0000000}"/>
    <cellStyle name="Normal 39" xfId="131" xr:uid="{00000000-0005-0000-0000-0000C1000000}"/>
    <cellStyle name="Normal 39 2" xfId="299" xr:uid="{00000000-0005-0000-0000-0000C2000000}"/>
    <cellStyle name="Normal 4" xfId="107" xr:uid="{00000000-0005-0000-0000-0000C3000000}"/>
    <cellStyle name="Normal 4 2" xfId="300" xr:uid="{00000000-0005-0000-0000-0000C4000000}"/>
    <cellStyle name="Normal 4 3" xfId="95" xr:uid="{00000000-0005-0000-0000-0000C5000000}"/>
    <cellStyle name="Normal 4 4" xfId="113" xr:uid="{00000000-0005-0000-0000-0000C6000000}"/>
    <cellStyle name="Normal 4 5" xfId="344" xr:uid="{00000000-0005-0000-0000-0000C7000000}"/>
    <cellStyle name="Normal 40" xfId="132" xr:uid="{00000000-0005-0000-0000-0000C8000000}"/>
    <cellStyle name="Normal 40 2" xfId="301" xr:uid="{00000000-0005-0000-0000-0000C9000000}"/>
    <cellStyle name="Normal 41" xfId="133" xr:uid="{00000000-0005-0000-0000-0000CA000000}"/>
    <cellStyle name="Normal 41 2" xfId="302" xr:uid="{00000000-0005-0000-0000-0000CB000000}"/>
    <cellStyle name="Normal 42" xfId="136" xr:uid="{00000000-0005-0000-0000-0000CC000000}"/>
    <cellStyle name="Normal 42 2" xfId="303" xr:uid="{00000000-0005-0000-0000-0000CD000000}"/>
    <cellStyle name="Normal 43" xfId="127" xr:uid="{00000000-0005-0000-0000-0000CE000000}"/>
    <cellStyle name="Normal 43 2" xfId="304" xr:uid="{00000000-0005-0000-0000-0000CF000000}"/>
    <cellStyle name="Normal 44" xfId="305" xr:uid="{00000000-0005-0000-0000-0000D0000000}"/>
    <cellStyle name="Normal 44 3" xfId="104" xr:uid="{00000000-0005-0000-0000-0000D1000000}"/>
    <cellStyle name="Normal 45" xfId="19" xr:uid="{00000000-0005-0000-0000-0000D2000000}"/>
    <cellStyle name="Normal 46" xfId="105" xr:uid="{00000000-0005-0000-0000-0000D3000000}"/>
    <cellStyle name="Normal 47" xfId="51" xr:uid="{00000000-0005-0000-0000-0000D4000000}"/>
    <cellStyle name="Normal 47 2" xfId="151" xr:uid="{00000000-0005-0000-0000-0000D5000000}"/>
    <cellStyle name="Normal 48" xfId="346" xr:uid="{00000000-0005-0000-0000-0000D6000000}"/>
    <cellStyle name="Normal 49" xfId="52" xr:uid="{00000000-0005-0000-0000-0000D7000000}"/>
    <cellStyle name="Normal 49 2" xfId="152" xr:uid="{00000000-0005-0000-0000-0000D8000000}"/>
    <cellStyle name="Normal 5" xfId="102" xr:uid="{00000000-0005-0000-0000-0000D9000000}"/>
    <cellStyle name="Normal 5 2" xfId="145" xr:uid="{00000000-0005-0000-0000-0000DA000000}"/>
    <cellStyle name="Normal 5 3" xfId="147" xr:uid="{00000000-0005-0000-0000-0000DB000000}"/>
    <cellStyle name="Normal 5 4" xfId="306" xr:uid="{00000000-0005-0000-0000-0000DC000000}"/>
    <cellStyle name="Normal 5 5" xfId="98" xr:uid="{00000000-0005-0000-0000-0000DD000000}"/>
    <cellStyle name="Normal 5 6" xfId="36" xr:uid="{00000000-0005-0000-0000-0000DE000000}"/>
    <cellStyle name="Normal 5 6 2" xfId="338" xr:uid="{00000000-0005-0000-0000-0000DF000000}"/>
    <cellStyle name="Normal 51" xfId="53" xr:uid="{00000000-0005-0000-0000-0000E0000000}"/>
    <cellStyle name="Normal 51 2" xfId="153" xr:uid="{00000000-0005-0000-0000-0000E1000000}"/>
    <cellStyle name="Normal 52" xfId="54" xr:uid="{00000000-0005-0000-0000-0000E2000000}"/>
    <cellStyle name="Normal 52 2" xfId="154" xr:uid="{00000000-0005-0000-0000-0000E3000000}"/>
    <cellStyle name="Normal 53" xfId="55" xr:uid="{00000000-0005-0000-0000-0000E4000000}"/>
    <cellStyle name="Normal 53 2" xfId="155" xr:uid="{00000000-0005-0000-0000-0000E5000000}"/>
    <cellStyle name="Normal 54" xfId="56" xr:uid="{00000000-0005-0000-0000-0000E6000000}"/>
    <cellStyle name="Normal 54 2" xfId="156" xr:uid="{00000000-0005-0000-0000-0000E7000000}"/>
    <cellStyle name="Normal 55" xfId="57" xr:uid="{00000000-0005-0000-0000-0000E8000000}"/>
    <cellStyle name="Normal 55 2" xfId="157" xr:uid="{00000000-0005-0000-0000-0000E9000000}"/>
    <cellStyle name="Normal 56" xfId="58" xr:uid="{00000000-0005-0000-0000-0000EA000000}"/>
    <cellStyle name="Normal 56 2" xfId="158" xr:uid="{00000000-0005-0000-0000-0000EB000000}"/>
    <cellStyle name="Normal 58" xfId="59" xr:uid="{00000000-0005-0000-0000-0000EC000000}"/>
    <cellStyle name="Normal 58 2" xfId="159" xr:uid="{00000000-0005-0000-0000-0000ED000000}"/>
    <cellStyle name="Normal 59" xfId="60" xr:uid="{00000000-0005-0000-0000-0000EE000000}"/>
    <cellStyle name="Normal 59 2" xfId="160" xr:uid="{00000000-0005-0000-0000-0000EF000000}"/>
    <cellStyle name="Normal 6" xfId="144" xr:uid="{00000000-0005-0000-0000-0000F0000000}"/>
    <cellStyle name="Normal 6 2" xfId="307" xr:uid="{00000000-0005-0000-0000-0000F1000000}"/>
    <cellStyle name="Normal 6 3" xfId="146" xr:uid="{00000000-0005-0000-0000-0000F2000000}"/>
    <cellStyle name="Normal 6 4" xfId="308" xr:uid="{00000000-0005-0000-0000-0000F3000000}"/>
    <cellStyle name="Normal 60" xfId="61" xr:uid="{00000000-0005-0000-0000-0000F4000000}"/>
    <cellStyle name="Normal 60 2" xfId="161" xr:uid="{00000000-0005-0000-0000-0000F5000000}"/>
    <cellStyle name="Normal 61" xfId="62" xr:uid="{00000000-0005-0000-0000-0000F6000000}"/>
    <cellStyle name="Normal 61 2" xfId="162" xr:uid="{00000000-0005-0000-0000-0000F7000000}"/>
    <cellStyle name="Normal 62" xfId="63" xr:uid="{00000000-0005-0000-0000-0000F8000000}"/>
    <cellStyle name="Normal 62 2" xfId="163" xr:uid="{00000000-0005-0000-0000-0000F9000000}"/>
    <cellStyle name="Normal 63" xfId="64" xr:uid="{00000000-0005-0000-0000-0000FA000000}"/>
    <cellStyle name="Normal 63 2" xfId="164" xr:uid="{00000000-0005-0000-0000-0000FB000000}"/>
    <cellStyle name="Normal 64" xfId="65" xr:uid="{00000000-0005-0000-0000-0000FC000000}"/>
    <cellStyle name="Normal 64 2" xfId="165" xr:uid="{00000000-0005-0000-0000-0000FD000000}"/>
    <cellStyle name="Normal 65" xfId="66" xr:uid="{00000000-0005-0000-0000-0000FE000000}"/>
    <cellStyle name="Normal 65 2" xfId="166" xr:uid="{00000000-0005-0000-0000-0000FF000000}"/>
    <cellStyle name="Normal 67" xfId="67" xr:uid="{00000000-0005-0000-0000-000000010000}"/>
    <cellStyle name="Normal 67 2" xfId="167" xr:uid="{00000000-0005-0000-0000-000001010000}"/>
    <cellStyle name="Normal 68" xfId="68" xr:uid="{00000000-0005-0000-0000-000002010000}"/>
    <cellStyle name="Normal 68 2" xfId="168" xr:uid="{00000000-0005-0000-0000-000003010000}"/>
    <cellStyle name="Normal 69" xfId="69" xr:uid="{00000000-0005-0000-0000-000004010000}"/>
    <cellStyle name="Normal 69 2" xfId="169" xr:uid="{00000000-0005-0000-0000-000005010000}"/>
    <cellStyle name="Normal 7" xfId="96" xr:uid="{00000000-0005-0000-0000-000006010000}"/>
    <cellStyle name="Normal 7 2" xfId="309" xr:uid="{00000000-0005-0000-0000-000007010000}"/>
    <cellStyle name="Normal 7 3" xfId="112" xr:uid="{00000000-0005-0000-0000-000008010000}"/>
    <cellStyle name="Normal 7 4" xfId="339" xr:uid="{00000000-0005-0000-0000-000009010000}"/>
    <cellStyle name="Normal 70" xfId="70" xr:uid="{00000000-0005-0000-0000-00000A010000}"/>
    <cellStyle name="Normal 70 2" xfId="170" xr:uid="{00000000-0005-0000-0000-00000B010000}"/>
    <cellStyle name="Normal 71" xfId="71" xr:uid="{00000000-0005-0000-0000-00000C010000}"/>
    <cellStyle name="Normal 71 2" xfId="171" xr:uid="{00000000-0005-0000-0000-00000D010000}"/>
    <cellStyle name="Normal 72" xfId="72" xr:uid="{00000000-0005-0000-0000-00000E010000}"/>
    <cellStyle name="Normal 72 2" xfId="172" xr:uid="{00000000-0005-0000-0000-00000F010000}"/>
    <cellStyle name="Normal 74" xfId="73" xr:uid="{00000000-0005-0000-0000-000010010000}"/>
    <cellStyle name="Normal 74 2" xfId="173" xr:uid="{00000000-0005-0000-0000-000011010000}"/>
    <cellStyle name="Normal 75" xfId="74" xr:uid="{00000000-0005-0000-0000-000012010000}"/>
    <cellStyle name="Normal 75 2" xfId="174" xr:uid="{00000000-0005-0000-0000-000013010000}"/>
    <cellStyle name="Normal 76" xfId="75" xr:uid="{00000000-0005-0000-0000-000014010000}"/>
    <cellStyle name="Normal 76 2" xfId="175" xr:uid="{00000000-0005-0000-0000-000015010000}"/>
    <cellStyle name="Normal 77" xfId="76" xr:uid="{00000000-0005-0000-0000-000016010000}"/>
    <cellStyle name="Normal 77 2" xfId="176" xr:uid="{00000000-0005-0000-0000-000017010000}"/>
    <cellStyle name="Normal 78" xfId="77" xr:uid="{00000000-0005-0000-0000-000018010000}"/>
    <cellStyle name="Normal 78 2" xfId="177" xr:uid="{00000000-0005-0000-0000-000019010000}"/>
    <cellStyle name="Normal 79" xfId="78" xr:uid="{00000000-0005-0000-0000-00001A010000}"/>
    <cellStyle name="Normal 79 2" xfId="178" xr:uid="{00000000-0005-0000-0000-00001B010000}"/>
    <cellStyle name="Normal 8" xfId="114" xr:uid="{00000000-0005-0000-0000-00001C010000}"/>
    <cellStyle name="Normal 8 2" xfId="310" xr:uid="{00000000-0005-0000-0000-00001D010000}"/>
    <cellStyle name="Normal 81" xfId="79" xr:uid="{00000000-0005-0000-0000-00001E010000}"/>
    <cellStyle name="Normal 81 2" xfId="179" xr:uid="{00000000-0005-0000-0000-00001F010000}"/>
    <cellStyle name="Normal 82" xfId="80" xr:uid="{00000000-0005-0000-0000-000020010000}"/>
    <cellStyle name="Normal 82 2" xfId="180" xr:uid="{00000000-0005-0000-0000-000021010000}"/>
    <cellStyle name="Normal 83" xfId="81" xr:uid="{00000000-0005-0000-0000-000022010000}"/>
    <cellStyle name="Normal 83 2" xfId="181" xr:uid="{00000000-0005-0000-0000-000023010000}"/>
    <cellStyle name="Normal 84" xfId="82" xr:uid="{00000000-0005-0000-0000-000024010000}"/>
    <cellStyle name="Normal 84 2" xfId="182" xr:uid="{00000000-0005-0000-0000-000025010000}"/>
    <cellStyle name="Normal 86" xfId="83" xr:uid="{00000000-0005-0000-0000-000026010000}"/>
    <cellStyle name="Normal 86 2" xfId="183" xr:uid="{00000000-0005-0000-0000-000027010000}"/>
    <cellStyle name="Normal 88" xfId="84" xr:uid="{00000000-0005-0000-0000-000028010000}"/>
    <cellStyle name="Normal 88 2" xfId="184" xr:uid="{00000000-0005-0000-0000-000029010000}"/>
    <cellStyle name="Normal 9" xfId="116" xr:uid="{00000000-0005-0000-0000-00002A010000}"/>
    <cellStyle name="Normal 9 2" xfId="311" xr:uid="{00000000-0005-0000-0000-00002B010000}"/>
    <cellStyle name="Normal 90" xfId="85" xr:uid="{00000000-0005-0000-0000-00002C010000}"/>
    <cellStyle name="Normal 90 2" xfId="185" xr:uid="{00000000-0005-0000-0000-00002D010000}"/>
    <cellStyle name="Normal 91" xfId="86" xr:uid="{00000000-0005-0000-0000-00002E010000}"/>
    <cellStyle name="Normal 91 2" xfId="186" xr:uid="{00000000-0005-0000-0000-00002F010000}"/>
    <cellStyle name="Normal 92" xfId="87" xr:uid="{00000000-0005-0000-0000-000030010000}"/>
    <cellStyle name="Normal 92 2" xfId="187" xr:uid="{00000000-0005-0000-0000-000031010000}"/>
    <cellStyle name="Normal 93" xfId="88" xr:uid="{00000000-0005-0000-0000-000032010000}"/>
    <cellStyle name="Normal 93 2" xfId="188" xr:uid="{00000000-0005-0000-0000-000033010000}"/>
    <cellStyle name="Normal 95" xfId="89" xr:uid="{00000000-0005-0000-0000-000034010000}"/>
    <cellStyle name="Normal 95 2" xfId="189" xr:uid="{00000000-0005-0000-0000-000035010000}"/>
    <cellStyle name="Normal 96" xfId="90" xr:uid="{00000000-0005-0000-0000-000036010000}"/>
    <cellStyle name="Normal 96 2" xfId="190" xr:uid="{00000000-0005-0000-0000-000037010000}"/>
    <cellStyle name="Normal 97" xfId="91" xr:uid="{00000000-0005-0000-0000-000038010000}"/>
    <cellStyle name="Normal 97 2" xfId="191" xr:uid="{00000000-0005-0000-0000-000039010000}"/>
    <cellStyle name="Normal 99" xfId="92" xr:uid="{00000000-0005-0000-0000-00003A010000}"/>
    <cellStyle name="Normal 99 2" xfId="192" xr:uid="{00000000-0005-0000-0000-00003B010000}"/>
    <cellStyle name="Normal_20" xfId="4" xr:uid="{00000000-0005-0000-0000-00003C010000}"/>
    <cellStyle name="Normal_22" xfId="6" xr:uid="{00000000-0005-0000-0000-00003D010000}"/>
    <cellStyle name="Normal_24" xfId="9" xr:uid="{00000000-0005-0000-0000-00003E010000}"/>
    <cellStyle name="Normal_44" xfId="17" xr:uid="{00000000-0005-0000-0000-00003F010000}"/>
    <cellStyle name="Normal_84." xfId="32" xr:uid="{00000000-0005-0000-0000-000040010000}"/>
    <cellStyle name="Normal_91-دفتر آمار و فناوری 2" xfId="38" xr:uid="{00000000-0005-0000-0000-000041010000}"/>
    <cellStyle name="Normal_Book2" xfId="39" xr:uid="{00000000-0005-0000-0000-000042010000}"/>
    <cellStyle name="Normal_rail1-نهايي" xfId="47" xr:uid="{00000000-0005-0000-0000-000043010000}"/>
    <cellStyle name="Normal_Sheet1 (2)" xfId="15" xr:uid="{00000000-0005-0000-0000-000044010000}"/>
    <cellStyle name="Normal_Sheet1 (2) 2" xfId="16" xr:uid="{00000000-0005-0000-0000-000045010000}"/>
    <cellStyle name="Normal_Sheet1 (3)" xfId="14" xr:uid="{00000000-0005-0000-0000-000046010000}"/>
    <cellStyle name="Normal_Sheet1 (5)" xfId="12" xr:uid="{00000000-0005-0000-0000-000047010000}"/>
    <cellStyle name="Normal_Sheet1 (6) 2" xfId="11" xr:uid="{00000000-0005-0000-0000-000048010000}"/>
    <cellStyle name="Normal_Sheet1 (7)" xfId="10" xr:uid="{00000000-0005-0000-0000-000049010000}"/>
    <cellStyle name="Normal_Sheet3 2" xfId="18" xr:uid="{00000000-0005-0000-0000-00004A010000}"/>
    <cellStyle name="Normal_val_takhir " xfId="26" xr:uid="{00000000-0005-0000-0000-00004B010000}"/>
    <cellStyle name="Note 2" xfId="312" xr:uid="{00000000-0005-0000-0000-00004C010000}"/>
    <cellStyle name="Note 2 2" xfId="331" xr:uid="{00000000-0005-0000-0000-00004D010000}"/>
    <cellStyle name="Output 2" xfId="313" xr:uid="{00000000-0005-0000-0000-00004E010000}"/>
    <cellStyle name="Output 2 2" xfId="332" xr:uid="{00000000-0005-0000-0000-00004F010000}"/>
    <cellStyle name="Percent" xfId="348" builtinId="5"/>
    <cellStyle name="Percent 2" xfId="94" xr:uid="{00000000-0005-0000-0000-000051010000}"/>
    <cellStyle name="Percent 3" xfId="27" xr:uid="{00000000-0005-0000-0000-000052010000}"/>
    <cellStyle name="Percent 4" xfId="24" xr:uid="{00000000-0005-0000-0000-000053010000}"/>
    <cellStyle name="S3" xfId="314" xr:uid="{00000000-0005-0000-0000-000054010000}"/>
    <cellStyle name="S4" xfId="315" xr:uid="{00000000-0005-0000-0000-000055010000}"/>
    <cellStyle name="S5" xfId="316" xr:uid="{00000000-0005-0000-0000-000056010000}"/>
    <cellStyle name="S6" xfId="317" xr:uid="{00000000-0005-0000-0000-000057010000}"/>
    <cellStyle name="S7" xfId="318" xr:uid="{00000000-0005-0000-0000-000058010000}"/>
    <cellStyle name="Title 2" xfId="319" xr:uid="{00000000-0005-0000-0000-000059010000}"/>
    <cellStyle name="Total 2" xfId="320" xr:uid="{00000000-0005-0000-0000-00005A010000}"/>
    <cellStyle name="Total 2 2" xfId="333" xr:uid="{00000000-0005-0000-0000-00005B010000}"/>
    <cellStyle name="Warning Text 2" xfId="321" xr:uid="{00000000-0005-0000-0000-00005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5.xml"/><Relationship Id="rId21" Type="http://schemas.openxmlformats.org/officeDocument/2006/relationships/worksheet" Target="worksheets/sheet20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63" Type="http://schemas.openxmlformats.org/officeDocument/2006/relationships/worksheet" Target="worksheets/sheet62.xml"/><Relationship Id="rId68" Type="http://schemas.openxmlformats.org/officeDocument/2006/relationships/worksheet" Target="worksheets/sheet67.xml"/><Relationship Id="rId84" Type="http://schemas.openxmlformats.org/officeDocument/2006/relationships/worksheet" Target="worksheets/sheet83.xml"/><Relationship Id="rId89" Type="http://schemas.openxmlformats.org/officeDocument/2006/relationships/externalLink" Target="externalLinks/externalLink3.xml"/><Relationship Id="rId16" Type="http://schemas.openxmlformats.org/officeDocument/2006/relationships/chartsheet" Target="chartsheets/sheet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53" Type="http://schemas.openxmlformats.org/officeDocument/2006/relationships/worksheet" Target="worksheets/sheet52.xml"/><Relationship Id="rId58" Type="http://schemas.openxmlformats.org/officeDocument/2006/relationships/worksheet" Target="worksheets/sheet57.xml"/><Relationship Id="rId74" Type="http://schemas.openxmlformats.org/officeDocument/2006/relationships/worksheet" Target="worksheets/sheet73.xml"/><Relationship Id="rId79" Type="http://schemas.openxmlformats.org/officeDocument/2006/relationships/worksheet" Target="worksheets/sheet7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.xml"/><Relationship Id="rId95" Type="http://schemas.openxmlformats.org/officeDocument/2006/relationships/calcChain" Target="calcChain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64" Type="http://schemas.openxmlformats.org/officeDocument/2006/relationships/worksheet" Target="worksheets/sheet63.xml"/><Relationship Id="rId69" Type="http://schemas.openxmlformats.org/officeDocument/2006/relationships/worksheet" Target="worksheets/sheet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0.xml"/><Relationship Id="rId72" Type="http://schemas.openxmlformats.org/officeDocument/2006/relationships/worksheet" Target="worksheets/sheet71.xml"/><Relationship Id="rId80" Type="http://schemas.openxmlformats.org/officeDocument/2006/relationships/worksheet" Target="worksheets/sheet79.xml"/><Relationship Id="rId85" Type="http://schemas.openxmlformats.org/officeDocument/2006/relationships/worksheet" Target="worksheets/sheet84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46" Type="http://schemas.openxmlformats.org/officeDocument/2006/relationships/worksheet" Target="worksheets/sheet45.xml"/><Relationship Id="rId59" Type="http://schemas.openxmlformats.org/officeDocument/2006/relationships/worksheet" Target="worksheets/sheet58.xml"/><Relationship Id="rId67" Type="http://schemas.openxmlformats.org/officeDocument/2006/relationships/worksheet" Target="worksheets/sheet66.xml"/><Relationship Id="rId20" Type="http://schemas.openxmlformats.org/officeDocument/2006/relationships/worksheet" Target="worksheets/sheet19.xml"/><Relationship Id="rId41" Type="http://schemas.openxmlformats.org/officeDocument/2006/relationships/worksheet" Target="worksheets/sheet40.xml"/><Relationship Id="rId54" Type="http://schemas.openxmlformats.org/officeDocument/2006/relationships/worksheet" Target="worksheets/sheet53.xml"/><Relationship Id="rId62" Type="http://schemas.openxmlformats.org/officeDocument/2006/relationships/worksheet" Target="worksheets/sheet61.xml"/><Relationship Id="rId70" Type="http://schemas.openxmlformats.org/officeDocument/2006/relationships/worksheet" Target="worksheets/sheet69.xml"/><Relationship Id="rId75" Type="http://schemas.openxmlformats.org/officeDocument/2006/relationships/worksheet" Target="worksheets/sheet74.xml"/><Relationship Id="rId83" Type="http://schemas.openxmlformats.org/officeDocument/2006/relationships/worksheet" Target="worksheets/sheet82.xml"/><Relationship Id="rId88" Type="http://schemas.openxmlformats.org/officeDocument/2006/relationships/externalLink" Target="externalLinks/externalLink2.xml"/><Relationship Id="rId9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worksheet" Target="worksheets/sheet35.xml"/><Relationship Id="rId49" Type="http://schemas.openxmlformats.org/officeDocument/2006/relationships/worksheet" Target="worksheets/sheet48.xml"/><Relationship Id="rId57" Type="http://schemas.openxmlformats.org/officeDocument/2006/relationships/worksheet" Target="worksheets/sheet5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0.xml"/><Relationship Id="rId44" Type="http://schemas.openxmlformats.org/officeDocument/2006/relationships/worksheet" Target="worksheets/sheet43.xml"/><Relationship Id="rId52" Type="http://schemas.openxmlformats.org/officeDocument/2006/relationships/worksheet" Target="worksheets/sheet51.xml"/><Relationship Id="rId60" Type="http://schemas.openxmlformats.org/officeDocument/2006/relationships/worksheet" Target="worksheets/sheet59.xml"/><Relationship Id="rId65" Type="http://schemas.openxmlformats.org/officeDocument/2006/relationships/worksheet" Target="worksheets/sheet64.xml"/><Relationship Id="rId73" Type="http://schemas.openxmlformats.org/officeDocument/2006/relationships/worksheet" Target="worksheets/sheet72.xml"/><Relationship Id="rId78" Type="http://schemas.openxmlformats.org/officeDocument/2006/relationships/worksheet" Target="worksheets/sheet77.xml"/><Relationship Id="rId81" Type="http://schemas.openxmlformats.org/officeDocument/2006/relationships/worksheet" Target="worksheets/sheet80.xml"/><Relationship Id="rId86" Type="http://schemas.openxmlformats.org/officeDocument/2006/relationships/worksheet" Target="worksheets/sheet85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39" Type="http://schemas.openxmlformats.org/officeDocument/2006/relationships/worksheet" Target="worksheets/sheet38.xml"/><Relationship Id="rId34" Type="http://schemas.openxmlformats.org/officeDocument/2006/relationships/worksheet" Target="worksheets/sheet33.xml"/><Relationship Id="rId50" Type="http://schemas.openxmlformats.org/officeDocument/2006/relationships/worksheet" Target="worksheets/sheet49.xml"/><Relationship Id="rId55" Type="http://schemas.openxmlformats.org/officeDocument/2006/relationships/worksheet" Target="worksheets/sheet54.xml"/><Relationship Id="rId76" Type="http://schemas.openxmlformats.org/officeDocument/2006/relationships/worksheet" Target="worksheets/sheet7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0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8.xml"/><Relationship Id="rId24" Type="http://schemas.openxmlformats.org/officeDocument/2006/relationships/worksheet" Target="worksheets/sheet23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66" Type="http://schemas.openxmlformats.org/officeDocument/2006/relationships/worksheet" Target="worksheets/sheet65.xml"/><Relationship Id="rId87" Type="http://schemas.openxmlformats.org/officeDocument/2006/relationships/externalLink" Target="externalLinks/externalLink1.xml"/><Relationship Id="rId61" Type="http://schemas.openxmlformats.org/officeDocument/2006/relationships/worksheet" Target="worksheets/sheet60.xml"/><Relationship Id="rId82" Type="http://schemas.openxmlformats.org/officeDocument/2006/relationships/worksheet" Target="worksheets/sheet81.xml"/><Relationship Id="rId19" Type="http://schemas.openxmlformats.org/officeDocument/2006/relationships/worksheet" Target="worksheets/sheet18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56" Type="http://schemas.openxmlformats.org/officeDocument/2006/relationships/worksheet" Target="worksheets/sheet55.xml"/><Relationship Id="rId77" Type="http://schemas.openxmlformats.org/officeDocument/2006/relationships/worksheet" Target="worksheets/sheet7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1000">
                <a:solidFill>
                  <a:srgbClr val="000099"/>
                </a:solidFill>
              </a:rPr>
              <a:t>ب -  تعدادپرسنل  </a:t>
            </a:r>
          </a:p>
        </c:rich>
      </c:tx>
      <c:layout>
        <c:manualLayout>
          <c:xMode val="edge"/>
          <c:yMode val="edge"/>
          <c:x val="0.40794290303617414"/>
          <c:y val="2.7778060000564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3599238593579"/>
          <c:y val="0.15794485366748512"/>
          <c:w val="0.83588438026716305"/>
          <c:h val="0.6929512036801851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3CC33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'18'!$E$4:$N$4</c:f>
              <c:numCache>
                <c:formatCode>0</c:formatCode>
                <c:ptCount val="10"/>
                <c:pt idx="0">
                  <c:v>9502</c:v>
                </c:pt>
                <c:pt idx="1">
                  <c:v>9216</c:v>
                </c:pt>
                <c:pt idx="2">
                  <c:v>9022</c:v>
                </c:pt>
                <c:pt idx="3">
                  <c:v>8812</c:v>
                </c:pt>
                <c:pt idx="4">
                  <c:v>8403</c:v>
                </c:pt>
                <c:pt idx="5">
                  <c:v>7958</c:v>
                </c:pt>
                <c:pt idx="6">
                  <c:v>7598</c:v>
                </c:pt>
                <c:pt idx="7">
                  <c:v>7207</c:v>
                </c:pt>
                <c:pt idx="8">
                  <c:v>6809</c:v>
                </c:pt>
                <c:pt idx="9">
                  <c:v>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0-48A3-B5E8-97607596D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33936"/>
        <c:axId val="1396734480"/>
      </c:lineChart>
      <c:catAx>
        <c:axId val="139673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734480"/>
        <c:scaling>
          <c:orientation val="minMax"/>
          <c:max val="2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39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310549839417038E-2"/>
                <c:y val="0.14910507154347641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هزارنفر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الف - طول خطوط اصلي </a:t>
            </a:r>
          </a:p>
        </c:rich>
      </c:tx>
      <c:layout>
        <c:manualLayout>
          <c:xMode val="edge"/>
          <c:yMode val="edge"/>
          <c:x val="0.37318952494282265"/>
          <c:y val="2.747269494538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5052002189565"/>
          <c:y val="0.14561603850151641"/>
          <c:w val="0.83791755442334415"/>
          <c:h val="0.699925104298671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3CC33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'18'!$E$3:$N$3</c:f>
              <c:numCache>
                <c:formatCode>0</c:formatCode>
                <c:ptCount val="10"/>
                <c:pt idx="0">
                  <c:v>10376</c:v>
                </c:pt>
                <c:pt idx="1">
                  <c:v>10459</c:v>
                </c:pt>
                <c:pt idx="2">
                  <c:v>10475</c:v>
                </c:pt>
                <c:pt idx="3">
                  <c:v>11061</c:v>
                </c:pt>
                <c:pt idx="4">
                  <c:v>11461</c:v>
                </c:pt>
                <c:pt idx="5">
                  <c:v>11659</c:v>
                </c:pt>
                <c:pt idx="6">
                  <c:v>11728</c:v>
                </c:pt>
                <c:pt idx="7">
                  <c:v>11798</c:v>
                </c:pt>
                <c:pt idx="8" formatCode="General">
                  <c:v>11928.5</c:v>
                </c:pt>
                <c:pt idx="9" formatCode="General">
                  <c:v>12303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7-4EBD-B18A-46EF1283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35024"/>
        <c:axId val="1396725776"/>
      </c:lineChart>
      <c:catAx>
        <c:axId val="139673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725776"/>
        <c:scaling>
          <c:orientation val="minMax"/>
          <c:max val="12500"/>
          <c:min val="5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5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8116006128305197E-2"/>
                <c:y val="0.17582417582417584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هزاركيلومتر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پ -  تعدادواگن هاي باري آماده بکار</a:t>
            </a:r>
          </a:p>
        </c:rich>
      </c:tx>
      <c:layout>
        <c:manualLayout>
          <c:xMode val="edge"/>
          <c:yMode val="edge"/>
          <c:x val="0.30797227269668215"/>
          <c:y val="2.7777963924722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0434782608695"/>
          <c:y val="0.1605899081126656"/>
          <c:w val="0.82246376811594202"/>
          <c:h val="0.69067036311931063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spPr>
            <a:ln w="38100">
              <a:solidFill>
                <a:srgbClr val="33CC33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'18'!$E$6:$N$6</c:f>
              <c:numCache>
                <c:formatCode>0</c:formatCode>
                <c:ptCount val="10"/>
                <c:pt idx="0">
                  <c:v>21234</c:v>
                </c:pt>
                <c:pt idx="1">
                  <c:v>21651</c:v>
                </c:pt>
                <c:pt idx="2">
                  <c:v>22678</c:v>
                </c:pt>
                <c:pt idx="3">
                  <c:v>23146</c:v>
                </c:pt>
                <c:pt idx="4">
                  <c:v>24310</c:v>
                </c:pt>
                <c:pt idx="5">
                  <c:v>24394</c:v>
                </c:pt>
                <c:pt idx="6">
                  <c:v>24249</c:v>
                </c:pt>
                <c:pt idx="7">
                  <c:v>26309</c:v>
                </c:pt>
                <c:pt idx="8">
                  <c:v>27685</c:v>
                </c:pt>
                <c:pt idx="9">
                  <c:v>27341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F-4C23-9671-50B138DC5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36112"/>
        <c:axId val="1396727408"/>
      </c:lineChart>
      <c:catAx>
        <c:axId val="13967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2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727408"/>
        <c:scaling>
          <c:orientation val="minMax"/>
          <c:max val="30000"/>
          <c:min val="1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6112"/>
        <c:crosses val="autoZero"/>
        <c:crossBetween val="between"/>
        <c:majorUnit val="1000"/>
        <c:dispUnits>
          <c:builtInUnit val="thousands"/>
          <c:dispUnitsLbl>
            <c:layout>
              <c:manualLayout>
                <c:xMode val="edge"/>
                <c:yMode val="edge"/>
                <c:x val="1.8116006128305197E-2"/>
                <c:y val="0.16111198519957248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هزاردستگاه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چ - تناژبار ترانزیت</a:t>
            </a:r>
          </a:p>
        </c:rich>
      </c:tx>
      <c:layout>
        <c:manualLayout>
          <c:xMode val="edge"/>
          <c:yMode val="edge"/>
          <c:x val="0.40320926550847813"/>
          <c:y val="2.7777963924722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21146953405018"/>
          <c:y val="0.16258336444402838"/>
          <c:w val="0.78954736506189216"/>
          <c:h val="0.70977330736201227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'18'!$E$21:$N$21</c:f>
              <c:numCache>
                <c:formatCode>0</c:formatCode>
                <c:ptCount val="10"/>
                <c:pt idx="0">
                  <c:v>796.97199999999998</c:v>
                </c:pt>
                <c:pt idx="1">
                  <c:v>1435</c:v>
                </c:pt>
                <c:pt idx="2">
                  <c:v>1142.6420000000001</c:v>
                </c:pt>
                <c:pt idx="3">
                  <c:v>1585.9590000000001</c:v>
                </c:pt>
                <c:pt idx="4">
                  <c:v>1584.624</c:v>
                </c:pt>
                <c:pt idx="5">
                  <c:v>622</c:v>
                </c:pt>
                <c:pt idx="6">
                  <c:v>806.51700000000005</c:v>
                </c:pt>
                <c:pt idx="7">
                  <c:v>1938.059</c:v>
                </c:pt>
                <c:pt idx="8">
                  <c:v>1432.5820000000001</c:v>
                </c:pt>
                <c:pt idx="9">
                  <c:v>1570.434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C-4467-A944-78DED790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36656"/>
        <c:axId val="1396737200"/>
      </c:lineChart>
      <c:catAx>
        <c:axId val="139673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73720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FF0000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هزارتن</a:t>
                </a:r>
              </a:p>
            </c:rich>
          </c:tx>
          <c:layout>
            <c:manualLayout>
              <c:xMode val="edge"/>
              <c:yMode val="edge"/>
              <c:x val="2.1665625130192059E-2"/>
              <c:y val="0.187485899368961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6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خ - تن كيلومتر بار</a:t>
            </a:r>
          </a:p>
        </c:rich>
      </c:tx>
      <c:layout>
        <c:manualLayout>
          <c:xMode val="edge"/>
          <c:yMode val="edge"/>
          <c:x val="0.38914121403614355"/>
          <c:y val="2.8571508348690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7477636448954"/>
          <c:y val="0.16173395878706651"/>
          <c:w val="0.82366148381650739"/>
          <c:h val="0.69115541408387782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'18'!$E$14:$N$14</c:f>
              <c:numCache>
                <c:formatCode>0</c:formatCode>
                <c:ptCount val="10"/>
                <c:pt idx="0">
                  <c:v>24461</c:v>
                </c:pt>
                <c:pt idx="1">
                  <c:v>25014</c:v>
                </c:pt>
                <c:pt idx="2">
                  <c:v>27242.582999999999</c:v>
                </c:pt>
                <c:pt idx="3">
                  <c:v>30299</c:v>
                </c:pt>
                <c:pt idx="4">
                  <c:v>34859.031986000002</c:v>
                </c:pt>
                <c:pt idx="5">
                  <c:v>33645.702255999997</c:v>
                </c:pt>
                <c:pt idx="6">
                  <c:v>35962.951547999997</c:v>
                </c:pt>
                <c:pt idx="7">
                  <c:v>32920.00923499999</c:v>
                </c:pt>
                <c:pt idx="8">
                  <c:v>30249</c:v>
                </c:pt>
                <c:pt idx="9">
                  <c:v>29135.634424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7-4B0F-A36B-CE999BC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30672"/>
        <c:axId val="1396732848"/>
      </c:lineChart>
      <c:catAx>
        <c:axId val="139673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732848"/>
        <c:scaling>
          <c:orientation val="minMax"/>
          <c:max val="40000"/>
          <c:min val="16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0672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5.4429342828961683E-3"/>
                <c:y val="0.1771435751382141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75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ميليارد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د - تعداد واگن بارگيري شده</a:t>
            </a:r>
          </a:p>
        </c:rich>
      </c:tx>
      <c:layout>
        <c:manualLayout>
          <c:xMode val="edge"/>
          <c:yMode val="edge"/>
          <c:x val="0.35971245632512494"/>
          <c:y val="2.8571349633927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7338129496402"/>
          <c:y val="0.15639303065840174"/>
          <c:w val="0.81034382399401594"/>
          <c:h val="0.70330317752834082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'18'!$E$17:$N$17</c:f>
              <c:numCache>
                <c:formatCode>0</c:formatCode>
                <c:ptCount val="10"/>
                <c:pt idx="0">
                  <c:v>554908</c:v>
                </c:pt>
                <c:pt idx="1">
                  <c:v>571710</c:v>
                </c:pt>
                <c:pt idx="2">
                  <c:v>643166</c:v>
                </c:pt>
                <c:pt idx="3">
                  <c:v>742316</c:v>
                </c:pt>
                <c:pt idx="4">
                  <c:v>788521</c:v>
                </c:pt>
                <c:pt idx="5">
                  <c:v>732177</c:v>
                </c:pt>
                <c:pt idx="6">
                  <c:v>808321</c:v>
                </c:pt>
                <c:pt idx="7">
                  <c:v>770296</c:v>
                </c:pt>
                <c:pt idx="8">
                  <c:v>725144</c:v>
                </c:pt>
                <c:pt idx="9">
                  <c:v>689037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8-460A-A9FF-857BCD1B3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24688"/>
        <c:axId val="1313845360"/>
      </c:lineChart>
      <c:catAx>
        <c:axId val="139672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138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845360"/>
        <c:scaling>
          <c:orientation val="minMax"/>
          <c:min val="35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24688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1.7985611510791366E-2"/>
                <c:y val="0.1828576530626480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هزاردستگاه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ج- نفركيلومترمسافر</a:t>
            </a:r>
          </a:p>
        </c:rich>
      </c:tx>
      <c:layout>
        <c:manualLayout>
          <c:xMode val="edge"/>
          <c:yMode val="edge"/>
          <c:x val="0.39305331206589533"/>
          <c:y val="2.80617368481113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8551385877712"/>
          <c:y val="0.15807108206538167"/>
          <c:w val="0.82991447268136231"/>
          <c:h val="0.67877643265341392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'18'!$E$12:$N$12</c:f>
              <c:numCache>
                <c:formatCode>0</c:formatCode>
                <c:ptCount val="10"/>
                <c:pt idx="0">
                  <c:v>16272.111999999999</c:v>
                </c:pt>
                <c:pt idx="1">
                  <c:v>14937.81523</c:v>
                </c:pt>
                <c:pt idx="2">
                  <c:v>12982.049070999999</c:v>
                </c:pt>
                <c:pt idx="3">
                  <c:v>13272</c:v>
                </c:pt>
                <c:pt idx="4">
                  <c:v>15239.3252989999</c:v>
                </c:pt>
                <c:pt idx="5">
                  <c:v>14889.87851</c:v>
                </c:pt>
                <c:pt idx="6">
                  <c:v>5183.448249</c:v>
                </c:pt>
                <c:pt idx="7">
                  <c:v>11231.377629999966</c:v>
                </c:pt>
                <c:pt idx="8">
                  <c:v>15906</c:v>
                </c:pt>
                <c:pt idx="9">
                  <c:v>16594.068393000001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9-4F2C-AF92-1D17A931D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272"/>
        <c:axId val="1441998448"/>
      </c:lineChart>
      <c:catAx>
        <c:axId val="144199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199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998448"/>
        <c:scaling>
          <c:orientation val="minMax"/>
          <c:min val="4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1996272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1.8181818181818181E-2"/>
                <c:y val="0.20555667077186834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ميليارد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ح- تناژ بار بارگيري شده</a:t>
            </a:r>
          </a:p>
        </c:rich>
      </c:tx>
      <c:layout>
        <c:manualLayout>
          <c:xMode val="edge"/>
          <c:yMode val="edge"/>
          <c:x val="0.36973919399315591"/>
          <c:y val="2.8585940270979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432373903736"/>
          <c:y val="0.15080830350751612"/>
          <c:w val="0.83453249587215717"/>
          <c:h val="0.6932323550465282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3CC33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'[2]18'!$E$2:$N$2</c:f>
              <c:numCache>
                <c:formatCode>General</c:formatCode>
                <c:ptCount val="10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</c:numCache>
            </c:numRef>
          </c:cat>
          <c:val>
            <c:numRef>
              <c:f>'[2]18'!$E$14:$N$14</c:f>
              <c:numCache>
                <c:formatCode>General</c:formatCode>
                <c:ptCount val="10"/>
                <c:pt idx="0">
                  <c:v>32693.262999999999</c:v>
                </c:pt>
                <c:pt idx="1">
                  <c:v>34924</c:v>
                </c:pt>
                <c:pt idx="2">
                  <c:v>35647</c:v>
                </c:pt>
                <c:pt idx="3">
                  <c:v>40282.400999999998</c:v>
                </c:pt>
                <c:pt idx="4">
                  <c:v>46766</c:v>
                </c:pt>
                <c:pt idx="5">
                  <c:v>50478.47</c:v>
                </c:pt>
                <c:pt idx="6">
                  <c:v>46976.127999999997</c:v>
                </c:pt>
                <c:pt idx="7">
                  <c:v>50564.248</c:v>
                </c:pt>
                <c:pt idx="8">
                  <c:v>46912.447</c:v>
                </c:pt>
                <c:pt idx="9">
                  <c:v>44438.862999999998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9-43C6-9E96-95E014C8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07152"/>
        <c:axId val="1441998992"/>
      </c:lineChart>
      <c:catAx>
        <c:axId val="144200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199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998992"/>
        <c:scaling>
          <c:orientation val="minMax"/>
          <c:min val="2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71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985611510791366E-2"/>
                <c:y val="0.16111198519957248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ت - ميانگين تعدادلكوموتيوآماده بکار</a:t>
            </a:r>
          </a:p>
        </c:rich>
      </c:tx>
      <c:layout>
        <c:manualLayout>
          <c:xMode val="edge"/>
          <c:yMode val="edge"/>
          <c:x val="0.29818190995356347"/>
          <c:y val="2.8090132350477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7878787878789"/>
          <c:y val="0.16114757297102814"/>
          <c:w val="0.81517127182701044"/>
          <c:h val="0.68772550554409506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'18'!$E$10:$N$10</c:f>
              <c:numCache>
                <c:formatCode>0</c:formatCode>
                <c:ptCount val="10"/>
                <c:pt idx="0">
                  <c:v>480</c:v>
                </c:pt>
                <c:pt idx="1">
                  <c:v>518</c:v>
                </c:pt>
                <c:pt idx="2">
                  <c:v>550</c:v>
                </c:pt>
                <c:pt idx="3">
                  <c:v>569</c:v>
                </c:pt>
                <c:pt idx="4">
                  <c:v>566</c:v>
                </c:pt>
                <c:pt idx="5">
                  <c:v>573</c:v>
                </c:pt>
                <c:pt idx="6">
                  <c:v>543</c:v>
                </c:pt>
                <c:pt idx="7">
                  <c:v>523.14166666666665</c:v>
                </c:pt>
                <c:pt idx="8">
                  <c:v>525.58000000000004</c:v>
                </c:pt>
                <c:pt idx="9">
                  <c:v>522.98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F-4387-B4BF-1565906DD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09872"/>
        <c:axId val="1441999536"/>
      </c:lineChart>
      <c:catAx>
        <c:axId val="144200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199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999536"/>
        <c:scaling>
          <c:orientation val="minMax"/>
          <c:max val="600"/>
          <c:min val="3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FF0000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دستگاه</a:t>
                </a:r>
              </a:p>
            </c:rich>
          </c:tx>
          <c:layout>
            <c:manualLayout>
              <c:xMode val="edge"/>
              <c:yMode val="edge"/>
              <c:x val="3.9827713843461881E-3"/>
              <c:y val="0.234173786787289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9872"/>
        <c:crosses val="autoZero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ث - تعدادمسافر</a:t>
            </a:r>
          </a:p>
        </c:rich>
      </c:tx>
      <c:layout>
        <c:manualLayout>
          <c:xMode val="edge"/>
          <c:yMode val="edge"/>
          <c:x val="0.42446028107246087"/>
          <c:y val="2.8089633957045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4001227981383"/>
          <c:y val="0.14276544545855818"/>
          <c:w val="0.8375115123254484"/>
          <c:h val="0.69915906081360069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'18'!$E$11:$N$11</c:f>
              <c:numCache>
                <c:formatCode>0</c:formatCode>
                <c:ptCount val="10"/>
                <c:pt idx="0">
                  <c:v>24802.383999999998</c:v>
                </c:pt>
                <c:pt idx="1">
                  <c:v>24452.602999999999</c:v>
                </c:pt>
                <c:pt idx="2">
                  <c:v>23041.531999999999</c:v>
                </c:pt>
                <c:pt idx="3">
                  <c:v>24480</c:v>
                </c:pt>
                <c:pt idx="4">
                  <c:v>28093.526000000002</c:v>
                </c:pt>
                <c:pt idx="5">
                  <c:v>28598.612000000001</c:v>
                </c:pt>
                <c:pt idx="6">
                  <c:v>11103.168</c:v>
                </c:pt>
                <c:pt idx="7">
                  <c:v>20732.585999999999</c:v>
                </c:pt>
                <c:pt idx="8">
                  <c:v>29665</c:v>
                </c:pt>
                <c:pt idx="9">
                  <c:v>31784.127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D-4DA7-8B3B-417E36C3E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08240"/>
        <c:axId val="1442002800"/>
      </c:lineChart>
      <c:catAx>
        <c:axId val="144200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002800"/>
        <c:scaling>
          <c:orientation val="minMax"/>
          <c:min val="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8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985611510791366E-2"/>
                <c:y val="0.151685809355823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ميليون نفر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1 - تعداد واگن هاي وارده راه آهن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7163924472127551"/>
          <c:y val="2.0187968928126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6488424021625"/>
          <c:y val="0.12147172512526844"/>
          <c:w val="0.85633035609354802"/>
          <c:h val="0.73138930360977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'33'!$B$24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'[3]35'!$A$25:$A$33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'[3]35'!$B$25:$B$33</c:f>
              <c:numCache>
                <c:formatCode>General</c:formatCode>
                <c:ptCount val="9"/>
                <c:pt idx="0">
                  <c:v>23877</c:v>
                </c:pt>
                <c:pt idx="1">
                  <c:v>27</c:v>
                </c:pt>
                <c:pt idx="2">
                  <c:v>337</c:v>
                </c:pt>
                <c:pt idx="3">
                  <c:v>12311</c:v>
                </c:pt>
                <c:pt idx="4">
                  <c:v>5355</c:v>
                </c:pt>
                <c:pt idx="5">
                  <c:v>2419</c:v>
                </c:pt>
                <c:pt idx="6">
                  <c:v>336</c:v>
                </c:pt>
                <c:pt idx="7">
                  <c:v>197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4-40F9-8483-FD0BDEB3F9A2}"/>
            </c:ext>
          </c:extLst>
        </c:ser>
        <c:ser>
          <c:idx val="1"/>
          <c:order val="1"/>
          <c:tx>
            <c:strRef>
              <c:f>'33'!$C$24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'[3]35'!$A$25:$A$33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'[3]35'!$C$25:$C$33</c:f>
              <c:numCache>
                <c:formatCode>General</c:formatCode>
                <c:ptCount val="9"/>
                <c:pt idx="0">
                  <c:v>29634</c:v>
                </c:pt>
                <c:pt idx="1">
                  <c:v>0</c:v>
                </c:pt>
                <c:pt idx="2">
                  <c:v>902</c:v>
                </c:pt>
                <c:pt idx="3">
                  <c:v>16269</c:v>
                </c:pt>
                <c:pt idx="4">
                  <c:v>4743</c:v>
                </c:pt>
                <c:pt idx="5">
                  <c:v>4101</c:v>
                </c:pt>
                <c:pt idx="6">
                  <c:v>392</c:v>
                </c:pt>
                <c:pt idx="7">
                  <c:v>307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4-40F9-8483-FD0BDEB3F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538828448"/>
        <c:axId val="-1538827904"/>
      </c:barChart>
      <c:catAx>
        <c:axId val="-15388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53882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38827904"/>
        <c:scaling>
          <c:orientation val="minMax"/>
          <c:max val="3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5388284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0141997874538336E-2"/>
                <c:y val="0.1047837156353613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هزارواگن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41791044776115"/>
          <c:y val="0.34090909090909088"/>
          <c:w val="0.125"/>
          <c:h val="0.14646464646464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2.3228346456692917" r="1.5354330708661419" t="0.98425196850393704" header="0.51181102362204722" footer="0.5118110236220472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2 - تعداد واگن هاي صادره به مقاصد خروجي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5304032117936478"/>
          <c:y val="2.8972114526293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6595744680851"/>
          <c:y val="0.12218605406282977"/>
          <c:w val="0.86382978723404258"/>
          <c:h val="0.73404875936899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'33'!$G$24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'[3]35'!$F$25:$F$33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'[3]35'!$G$25:$G$33</c:f>
              <c:numCache>
                <c:formatCode>General</c:formatCode>
                <c:ptCount val="9"/>
                <c:pt idx="0">
                  <c:v>22091</c:v>
                </c:pt>
                <c:pt idx="1">
                  <c:v>21013</c:v>
                </c:pt>
                <c:pt idx="2">
                  <c:v>318</c:v>
                </c:pt>
                <c:pt idx="3">
                  <c:v>125735</c:v>
                </c:pt>
                <c:pt idx="4">
                  <c:v>9080</c:v>
                </c:pt>
                <c:pt idx="5">
                  <c:v>1325</c:v>
                </c:pt>
                <c:pt idx="6">
                  <c:v>718</c:v>
                </c:pt>
                <c:pt idx="7">
                  <c:v>0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3-40B5-B786-AE3C107BD617}"/>
            </c:ext>
          </c:extLst>
        </c:ser>
        <c:ser>
          <c:idx val="1"/>
          <c:order val="1"/>
          <c:tx>
            <c:strRef>
              <c:f>'33'!$H$24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'[3]35'!$F$25:$F$33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'[3]35'!$H$25:$H$33</c:f>
              <c:numCache>
                <c:formatCode>General</c:formatCode>
                <c:ptCount val="9"/>
                <c:pt idx="0">
                  <c:v>35817</c:v>
                </c:pt>
                <c:pt idx="1">
                  <c:v>18115</c:v>
                </c:pt>
                <c:pt idx="2">
                  <c:v>269</c:v>
                </c:pt>
                <c:pt idx="3">
                  <c:v>130087</c:v>
                </c:pt>
                <c:pt idx="4">
                  <c:v>6681</c:v>
                </c:pt>
                <c:pt idx="5">
                  <c:v>662</c:v>
                </c:pt>
                <c:pt idx="6">
                  <c:v>1442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3-40B5-B786-AE3C107B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72848"/>
        <c:axId val="-1714876656"/>
      </c:barChart>
      <c:catAx>
        <c:axId val="-171487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7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76656"/>
        <c:scaling>
          <c:orientation val="minMax"/>
          <c:max val="14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72848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3.8465404590383602E-4"/>
                <c:y val="8.286254629130263E-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هزارواگن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44250871080136"/>
          <c:y val="0.30710659898477155"/>
          <c:w val="0.12020905923344949"/>
          <c:h val="0.15228426395939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3 - تناژ بار وارده راه آهن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9677320299184425"/>
          <c:y val="2.5176332653849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27376408002662E-2"/>
          <c:y val="0.12342221773468913"/>
          <c:w val="0.88008169819559678"/>
          <c:h val="0.71166272653523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'33'!$L$24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'[3]35'!$K$25:$K$33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 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'[3]35'!$L$25:$L$33</c:f>
              <c:numCache>
                <c:formatCode>General</c:formatCode>
                <c:ptCount val="9"/>
                <c:pt idx="0">
                  <c:v>1318659</c:v>
                </c:pt>
                <c:pt idx="1">
                  <c:v>1418</c:v>
                </c:pt>
                <c:pt idx="2">
                  <c:v>22097</c:v>
                </c:pt>
                <c:pt idx="3">
                  <c:v>692686</c:v>
                </c:pt>
                <c:pt idx="4">
                  <c:v>320583</c:v>
                </c:pt>
                <c:pt idx="5">
                  <c:v>97296</c:v>
                </c:pt>
                <c:pt idx="6">
                  <c:v>7998</c:v>
                </c:pt>
                <c:pt idx="7">
                  <c:v>10697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9-466C-B85E-D4D0D65599A0}"/>
            </c:ext>
          </c:extLst>
        </c:ser>
        <c:ser>
          <c:idx val="1"/>
          <c:order val="1"/>
          <c:tx>
            <c:strRef>
              <c:f>'33'!$M$24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'[3]35'!$K$25:$K$33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 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'[3]35'!$M$25:$M$33</c:f>
              <c:numCache>
                <c:formatCode>General</c:formatCode>
                <c:ptCount val="9"/>
                <c:pt idx="0">
                  <c:v>1645879</c:v>
                </c:pt>
                <c:pt idx="1">
                  <c:v>0</c:v>
                </c:pt>
                <c:pt idx="2">
                  <c:v>58312</c:v>
                </c:pt>
                <c:pt idx="3">
                  <c:v>882145</c:v>
                </c:pt>
                <c:pt idx="4">
                  <c:v>280484</c:v>
                </c:pt>
                <c:pt idx="5">
                  <c:v>178967</c:v>
                </c:pt>
                <c:pt idx="6">
                  <c:v>9175</c:v>
                </c:pt>
                <c:pt idx="7">
                  <c:v>16506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9-466C-B85E-D4D0D6559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68496"/>
        <c:axId val="-1714885360"/>
      </c:barChart>
      <c:catAx>
        <c:axId val="-171486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85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714885360"/>
        <c:scaling>
          <c:orientation val="minMax"/>
          <c:max val="2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68496"/>
        <c:crosses val="autoZero"/>
        <c:crossBetween val="between"/>
        <c:majorUnit val="400000"/>
        <c:minorUnit val="100000"/>
        <c:dispUnits>
          <c:builtInUnit val="millions"/>
          <c:dispUnitsLbl>
            <c:layout>
              <c:manualLayout>
                <c:xMode val="edge"/>
                <c:yMode val="edge"/>
                <c:x val="6.0118603242573134E-4"/>
                <c:y val="0.2299953368773065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75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6246813066077"/>
          <c:y val="0.31038091050801392"/>
          <c:w val="0.11221369242977008"/>
          <c:h val="0.154567062365935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4 - تناژ بار صادره راه آهن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21028106833004667"/>
          <c:y val="1.9048989434696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5107387775462"/>
          <c:y val="0.11168033683289591"/>
          <c:w val="0.8701933306294084"/>
          <c:h val="0.7621243438320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'33'!$Q$24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'[3]35'!$P$25:$P$33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'[3]35'!$Q$25:$Q$33</c:f>
              <c:numCache>
                <c:formatCode>General</c:formatCode>
                <c:ptCount val="9"/>
                <c:pt idx="0">
                  <c:v>1378812</c:v>
                </c:pt>
                <c:pt idx="1">
                  <c:v>1158270</c:v>
                </c:pt>
                <c:pt idx="2">
                  <c:v>21275</c:v>
                </c:pt>
                <c:pt idx="3">
                  <c:v>7926245</c:v>
                </c:pt>
                <c:pt idx="4">
                  <c:v>538682</c:v>
                </c:pt>
                <c:pt idx="5">
                  <c:v>54790</c:v>
                </c:pt>
                <c:pt idx="6">
                  <c:v>17207</c:v>
                </c:pt>
                <c:pt idx="7">
                  <c:v>0</c:v>
                </c:pt>
                <c:pt idx="8">
                  <c:v>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8-427D-AFDF-3CF62BD2144B}"/>
            </c:ext>
          </c:extLst>
        </c:ser>
        <c:ser>
          <c:idx val="1"/>
          <c:order val="1"/>
          <c:tx>
            <c:strRef>
              <c:f>'33'!$R$24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'[3]35'!$P$25:$P$33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'[3]35'!$R$25:$R$33</c:f>
              <c:numCache>
                <c:formatCode>General</c:formatCode>
                <c:ptCount val="9"/>
                <c:pt idx="0">
                  <c:v>2290321</c:v>
                </c:pt>
                <c:pt idx="1">
                  <c:v>998617</c:v>
                </c:pt>
                <c:pt idx="2">
                  <c:v>17479</c:v>
                </c:pt>
                <c:pt idx="3">
                  <c:v>8245053</c:v>
                </c:pt>
                <c:pt idx="4">
                  <c:v>386473</c:v>
                </c:pt>
                <c:pt idx="5">
                  <c:v>24889</c:v>
                </c:pt>
                <c:pt idx="6">
                  <c:v>33216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8-427D-AFDF-3CF62BD2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71216"/>
        <c:axId val="-1714884816"/>
      </c:barChart>
      <c:catAx>
        <c:axId val="-171487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8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84816"/>
        <c:scaling>
          <c:orientation val="minMax"/>
          <c:max val="10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71216"/>
        <c:crosses val="autoZero"/>
        <c:crossBetween val="between"/>
        <c:majorUnit val="2000000"/>
        <c:minorUnit val="100000"/>
        <c:dispUnits>
          <c:builtInUnit val="millions"/>
          <c:dispUnitsLbl>
            <c:layout>
              <c:manualLayout>
                <c:xMode val="edge"/>
                <c:yMode val="edge"/>
                <c:x val="1.2510221302266169E-2"/>
                <c:y val="0.1441212817147856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Mitra"/>
                    </a:defRPr>
                  </a:pPr>
                  <a:r>
                    <a:rPr lang="fa-IR"/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4814431499792"/>
          <c:y val="0.309778701520178"/>
          <c:w val="0.10546612401691347"/>
          <c:h val="0.16513503070999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5 - تن كيلومتر بار وارده راه آهن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7847731799482511"/>
          <c:y val="1.831598322936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4538820945255"/>
          <c:y val="0.11551256092988377"/>
          <c:w val="0.86072820684648466"/>
          <c:h val="0.7581276885843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'33'!$V$24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'[3]35'!$U$25:$U$33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'[3]35'!$V$25:$V$33</c:f>
              <c:numCache>
                <c:formatCode>General</c:formatCode>
                <c:ptCount val="9"/>
                <c:pt idx="0">
                  <c:v>1009453331</c:v>
                </c:pt>
                <c:pt idx="1">
                  <c:v>1291241</c:v>
                </c:pt>
                <c:pt idx="2">
                  <c:v>8335366</c:v>
                </c:pt>
                <c:pt idx="3">
                  <c:v>896582647</c:v>
                </c:pt>
                <c:pt idx="4">
                  <c:v>69905678</c:v>
                </c:pt>
                <c:pt idx="5">
                  <c:v>67674544</c:v>
                </c:pt>
                <c:pt idx="6">
                  <c:v>1199700</c:v>
                </c:pt>
                <c:pt idx="7">
                  <c:v>7811012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5-4A72-9999-C2EABE5CDE10}"/>
            </c:ext>
          </c:extLst>
        </c:ser>
        <c:ser>
          <c:idx val="1"/>
          <c:order val="1"/>
          <c:tx>
            <c:strRef>
              <c:f>'33'!$W$24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'[3]35'!$U$25:$U$33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'[3]35'!$W$25:$W$33</c:f>
              <c:numCache>
                <c:formatCode>General</c:formatCode>
                <c:ptCount val="9"/>
                <c:pt idx="0">
                  <c:v>1181220255</c:v>
                </c:pt>
                <c:pt idx="1">
                  <c:v>0</c:v>
                </c:pt>
                <c:pt idx="2">
                  <c:v>16052101</c:v>
                </c:pt>
                <c:pt idx="3">
                  <c:v>1109398926</c:v>
                </c:pt>
                <c:pt idx="4">
                  <c:v>63580935</c:v>
                </c:pt>
                <c:pt idx="5">
                  <c:v>123941037</c:v>
                </c:pt>
                <c:pt idx="6">
                  <c:v>1376250</c:v>
                </c:pt>
                <c:pt idx="7">
                  <c:v>7879420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5-4A72-9999-C2EABE5C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59792"/>
        <c:axId val="-1714859248"/>
      </c:barChart>
      <c:catAx>
        <c:axId val="-171485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5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59248"/>
        <c:scaling>
          <c:orientation val="minMax"/>
          <c:max val="150000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;[Red]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59792"/>
        <c:crosses val="autoZero"/>
        <c:crossBetween val="between"/>
        <c:majorUnit val="300000000"/>
        <c:dispUnits>
          <c:builtInUnit val="millions"/>
          <c:dispUnitsLbl>
            <c:layout>
              <c:manualLayout>
                <c:xMode val="edge"/>
                <c:yMode val="edge"/>
                <c:x val="5.3932354200405784E-3"/>
                <c:y val="0.1291188601424821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5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 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37368999087869"/>
          <c:y val="0.33034325254797697"/>
          <c:w val="0.12199102771727999"/>
          <c:h val="0.170700207928554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6 - تن كيلومتر بار صادره راه آهن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6953468316460443"/>
          <c:y val="4.2953612521672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8728323699421"/>
          <c:y val="0.14201270533089366"/>
          <c:w val="0.8477842003853564"/>
          <c:h val="0.71004214551510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'33'!$AA$24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'[3]35'!$Z$25:$Z$33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'[3]35'!$AA$25:$AA$33</c:f>
              <c:numCache>
                <c:formatCode>General</c:formatCode>
                <c:ptCount val="9"/>
                <c:pt idx="0">
                  <c:v>329465825</c:v>
                </c:pt>
                <c:pt idx="1">
                  <c:v>796317496</c:v>
                </c:pt>
                <c:pt idx="2">
                  <c:v>3191250</c:v>
                </c:pt>
                <c:pt idx="3">
                  <c:v>6857984243</c:v>
                </c:pt>
                <c:pt idx="4">
                  <c:v>222847772</c:v>
                </c:pt>
                <c:pt idx="5">
                  <c:v>14587548</c:v>
                </c:pt>
                <c:pt idx="6">
                  <c:v>2581050</c:v>
                </c:pt>
                <c:pt idx="7">
                  <c:v>0</c:v>
                </c:pt>
                <c:pt idx="8">
                  <c:v>4494125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9-477F-8478-705E63C28FEE}"/>
            </c:ext>
          </c:extLst>
        </c:ser>
        <c:ser>
          <c:idx val="1"/>
          <c:order val="1"/>
          <c:tx>
            <c:strRef>
              <c:f>'33'!$AB$24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'[3]35'!$Z$25:$Z$33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'[3]35'!$AB$25:$AB$33</c:f>
              <c:numCache>
                <c:formatCode>General</c:formatCode>
                <c:ptCount val="9"/>
                <c:pt idx="0">
                  <c:v>461165789</c:v>
                </c:pt>
                <c:pt idx="1">
                  <c:v>687871994</c:v>
                </c:pt>
                <c:pt idx="2">
                  <c:v>2621850</c:v>
                </c:pt>
                <c:pt idx="3">
                  <c:v>7748074102</c:v>
                </c:pt>
                <c:pt idx="4">
                  <c:v>176056734</c:v>
                </c:pt>
                <c:pt idx="5">
                  <c:v>5627666</c:v>
                </c:pt>
                <c:pt idx="6">
                  <c:v>4982400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9-477F-8478-705E63C28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83184"/>
        <c:axId val="-1714882096"/>
      </c:barChart>
      <c:catAx>
        <c:axId val="-171488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8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82096"/>
        <c:scaling>
          <c:orientation val="minMax"/>
          <c:max val="8000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831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121457489878543E-2"/>
                <c:y val="0.1281464530892448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 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7315335583044"/>
          <c:y val="0.30714801641961853"/>
          <c:w val="0.11753730783652039"/>
          <c:h val="0.17534782042584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1 - تعداد واگن هاي وارده راه آهن درسالهاي 1401- 1400</a:t>
            </a:r>
          </a:p>
        </c:rich>
      </c:tx>
      <c:layout>
        <c:manualLayout>
          <c:xMode val="edge"/>
          <c:yMode val="edge"/>
          <c:x val="0.17163924472127551"/>
          <c:y val="2.0187968928126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6488424021625"/>
          <c:y val="0.12147172512526844"/>
          <c:w val="0.85633035609354802"/>
          <c:h val="0.73138930360977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'33'!$B$24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'33'!$A$25:$A$33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بندرامیرآباد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'33'!$B$25:$B$33</c:f>
              <c:numCache>
                <c:formatCode>0</c:formatCode>
                <c:ptCount val="9"/>
                <c:pt idx="0">
                  <c:v>0</c:v>
                </c:pt>
                <c:pt idx="1">
                  <c:v>288</c:v>
                </c:pt>
                <c:pt idx="2">
                  <c:v>0</c:v>
                </c:pt>
                <c:pt idx="3">
                  <c:v>1728</c:v>
                </c:pt>
                <c:pt idx="4">
                  <c:v>4066</c:v>
                </c:pt>
                <c:pt idx="5">
                  <c:v>593</c:v>
                </c:pt>
                <c:pt idx="6">
                  <c:v>0</c:v>
                </c:pt>
                <c:pt idx="7">
                  <c:v>3214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8-4A2D-A611-06AFCB0DAD94}"/>
            </c:ext>
          </c:extLst>
        </c:ser>
        <c:ser>
          <c:idx val="1"/>
          <c:order val="1"/>
          <c:tx>
            <c:strRef>
              <c:f>'33'!$C$24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'33'!$A$25:$A$33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بندرامیرآباد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'33'!$C$25:$C$33</c:f>
              <c:numCache>
                <c:formatCode>0</c:formatCode>
                <c:ptCount val="9"/>
                <c:pt idx="0">
                  <c:v>0</c:v>
                </c:pt>
                <c:pt idx="1">
                  <c:v>395</c:v>
                </c:pt>
                <c:pt idx="2">
                  <c:v>1</c:v>
                </c:pt>
                <c:pt idx="3">
                  <c:v>1435</c:v>
                </c:pt>
                <c:pt idx="4">
                  <c:v>3884</c:v>
                </c:pt>
                <c:pt idx="5">
                  <c:v>38</c:v>
                </c:pt>
                <c:pt idx="6">
                  <c:v>0</c:v>
                </c:pt>
                <c:pt idx="7">
                  <c:v>3953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8-4A2D-A611-06AFCB0D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77744"/>
        <c:axId val="-1714867408"/>
      </c:barChart>
      <c:catAx>
        <c:axId val="-171487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6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67408"/>
        <c:scaling>
          <c:orientation val="minMax"/>
          <c:max val="4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777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0141997874538336E-2"/>
                <c:y val="0.1047837156353613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هزارواگن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41791044776115"/>
          <c:y val="0.34090909090909088"/>
          <c:w val="0.125"/>
          <c:h val="0.14646464646464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2.3228346456692917" r="1.5354330708661419" t="0.98425196850393704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2 - تعداد واگن هاي صادره درسالهاي1401- 1400</a:t>
            </a:r>
          </a:p>
        </c:rich>
      </c:tx>
      <c:layout>
        <c:manualLayout>
          <c:xMode val="edge"/>
          <c:yMode val="edge"/>
          <c:x val="0.23898689493081657"/>
          <c:y val="1.2051640753027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6595744680851"/>
          <c:y val="0.12218605406282977"/>
          <c:w val="0.86382978723404258"/>
          <c:h val="0.73404875936899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'33'!$G$24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'33'!$F$25:$F$35</c:f>
              <c:strCache>
                <c:ptCount val="11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بندرامیرآباد</c:v>
                </c:pt>
                <c:pt idx="8">
                  <c:v>شلمچه</c:v>
                </c:pt>
                <c:pt idx="9">
                  <c:v>آستارا</c:v>
                </c:pt>
                <c:pt idx="10">
                  <c:v>سایر</c:v>
                </c:pt>
              </c:strCache>
            </c:strRef>
          </c:cat>
          <c:val>
            <c:numRef>
              <c:f>'33'!$G$25:$G$35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4715</c:v>
                </c:pt>
                <c:pt idx="3">
                  <c:v>0</c:v>
                </c:pt>
                <c:pt idx="4">
                  <c:v>14207</c:v>
                </c:pt>
                <c:pt idx="5">
                  <c:v>7751</c:v>
                </c:pt>
                <c:pt idx="6">
                  <c:v>1715</c:v>
                </c:pt>
                <c:pt idx="7">
                  <c:v>0</c:v>
                </c:pt>
                <c:pt idx="8">
                  <c:v>0</c:v>
                </c:pt>
                <c:pt idx="9">
                  <c:v>3821</c:v>
                </c:pt>
                <c:pt idx="1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C-476B-967B-3C87DED0FCE9}"/>
            </c:ext>
          </c:extLst>
        </c:ser>
        <c:ser>
          <c:idx val="1"/>
          <c:order val="1"/>
          <c:tx>
            <c:strRef>
              <c:f>'33'!$H$24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'33'!$F$25:$F$35</c:f>
              <c:strCache>
                <c:ptCount val="11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بندرامیرآباد</c:v>
                </c:pt>
                <c:pt idx="8">
                  <c:v>شلمچه</c:v>
                </c:pt>
                <c:pt idx="9">
                  <c:v>آستارا</c:v>
                </c:pt>
                <c:pt idx="10">
                  <c:v>سایر</c:v>
                </c:pt>
              </c:strCache>
            </c:strRef>
          </c:cat>
          <c:val>
            <c:numRef>
              <c:f>'33'!$H$25:$H$35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6287</c:v>
                </c:pt>
                <c:pt idx="3">
                  <c:v>25</c:v>
                </c:pt>
                <c:pt idx="4">
                  <c:v>16428</c:v>
                </c:pt>
                <c:pt idx="5">
                  <c:v>4068</c:v>
                </c:pt>
                <c:pt idx="6">
                  <c:v>1290</c:v>
                </c:pt>
                <c:pt idx="7">
                  <c:v>0</c:v>
                </c:pt>
                <c:pt idx="8">
                  <c:v>0</c:v>
                </c:pt>
                <c:pt idx="9">
                  <c:v>3469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C-476B-967B-3C87DED0F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66864"/>
        <c:axId val="-1714878288"/>
      </c:barChart>
      <c:catAx>
        <c:axId val="-171486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7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78288"/>
        <c:scaling>
          <c:orientation val="minMax"/>
          <c:max val="10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66864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3.8465404590383602E-4"/>
                <c:y val="8.286254629130263E-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هزارواگن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44250871080136"/>
          <c:y val="0.30710659898477155"/>
          <c:w val="0.12020905923344949"/>
          <c:h val="0.15228426395939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3 - تناژ بار وارده راه آهن درسالهاي 1401-1400</a:t>
            </a:r>
          </a:p>
        </c:rich>
      </c:tx>
      <c:layout>
        <c:manualLayout>
          <c:xMode val="edge"/>
          <c:yMode val="edge"/>
          <c:x val="0.18246193286662066"/>
          <c:y val="2.5176332653849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16106282779052E-2"/>
          <c:y val="0.12342219912866222"/>
          <c:w val="0.88008169819559678"/>
          <c:h val="0.71166272653523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'33'!$L$24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'33'!$K$25:$K$33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 امیرآباد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'33'!$L$25:$L$33</c:f>
              <c:numCache>
                <c:formatCode>#,##0</c:formatCode>
                <c:ptCount val="9"/>
                <c:pt idx="0">
                  <c:v>0</c:v>
                </c:pt>
                <c:pt idx="1">
                  <c:v>14618</c:v>
                </c:pt>
                <c:pt idx="2">
                  <c:v>0</c:v>
                </c:pt>
                <c:pt idx="3">
                  <c:v>99950</c:v>
                </c:pt>
                <c:pt idx="4">
                  <c:v>160900</c:v>
                </c:pt>
                <c:pt idx="5">
                  <c:v>13639</c:v>
                </c:pt>
                <c:pt idx="6">
                  <c:v>0</c:v>
                </c:pt>
                <c:pt idx="7">
                  <c:v>151659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3-4B28-923B-1250BEDD4A5E}"/>
            </c:ext>
          </c:extLst>
        </c:ser>
        <c:ser>
          <c:idx val="1"/>
          <c:order val="1"/>
          <c:tx>
            <c:strRef>
              <c:f>'33'!$M$24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'33'!$K$25:$K$33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 امیرآباد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'33'!$M$25:$M$33</c:f>
              <c:numCache>
                <c:formatCode>#,##0</c:formatCode>
                <c:ptCount val="9"/>
                <c:pt idx="0">
                  <c:v>0</c:v>
                </c:pt>
                <c:pt idx="1">
                  <c:v>21370</c:v>
                </c:pt>
                <c:pt idx="2">
                  <c:v>55</c:v>
                </c:pt>
                <c:pt idx="3">
                  <c:v>87740</c:v>
                </c:pt>
                <c:pt idx="4">
                  <c:v>157321</c:v>
                </c:pt>
                <c:pt idx="5">
                  <c:v>874</c:v>
                </c:pt>
                <c:pt idx="6">
                  <c:v>0</c:v>
                </c:pt>
                <c:pt idx="7">
                  <c:v>231925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3-4B28-923B-1250BEDD4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91634416"/>
        <c:axId val="-1691628976"/>
      </c:barChart>
      <c:catAx>
        <c:axId val="-169163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28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1628976"/>
        <c:scaling>
          <c:orientation val="minMax"/>
          <c:max val="24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4416"/>
        <c:crosses val="autoZero"/>
        <c:crossBetween val="between"/>
        <c:majorUnit val="400000"/>
        <c:minorUnit val="100000"/>
        <c:dispUnits>
          <c:builtInUnit val="millions"/>
          <c:dispUnitsLbl>
            <c:layout>
              <c:manualLayout>
                <c:xMode val="edge"/>
                <c:yMode val="edge"/>
                <c:x val="6.0118603242573134E-4"/>
                <c:y val="0.2299953368773065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75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6246813066077"/>
          <c:y val="0.31038091050801392"/>
          <c:w val="0.11221369242977008"/>
          <c:h val="0.154567062365935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4 - تناژ بار صادره راه آهن درسالهاي 1401-1400</a:t>
            </a:r>
          </a:p>
        </c:rich>
      </c:tx>
      <c:layout>
        <c:manualLayout>
          <c:xMode val="edge"/>
          <c:yMode val="edge"/>
          <c:x val="0.21028106833004667"/>
          <c:y val="1.9048989434696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5107387775462"/>
          <c:y val="0.11168033683289591"/>
          <c:w val="0.8701933306294084"/>
          <c:h val="0.7621243438320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'33'!$Q$24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'33'!$P$25:$P$35</c:f>
              <c:strCache>
                <c:ptCount val="11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شلمچه</c:v>
                </c:pt>
                <c:pt idx="9">
                  <c:v>آستارا</c:v>
                </c:pt>
                <c:pt idx="10">
                  <c:v>سایر</c:v>
                </c:pt>
              </c:strCache>
            </c:strRef>
          </c:cat>
          <c:val>
            <c:numRef>
              <c:f>'33'!$Q$25:$Q$35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311950</c:v>
                </c:pt>
                <c:pt idx="3">
                  <c:v>0</c:v>
                </c:pt>
                <c:pt idx="4">
                  <c:v>896497</c:v>
                </c:pt>
                <c:pt idx="5">
                  <c:v>330314</c:v>
                </c:pt>
                <c:pt idx="6">
                  <c:v>39474</c:v>
                </c:pt>
                <c:pt idx="7">
                  <c:v>0</c:v>
                </c:pt>
                <c:pt idx="8">
                  <c:v>0</c:v>
                </c:pt>
                <c:pt idx="9">
                  <c:v>199151</c:v>
                </c:pt>
                <c:pt idx="10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6-4C70-B13F-91896D2C4626}"/>
            </c:ext>
          </c:extLst>
        </c:ser>
        <c:ser>
          <c:idx val="1"/>
          <c:order val="1"/>
          <c:tx>
            <c:strRef>
              <c:f>'33'!$R$24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'33'!$P$25:$P$35</c:f>
              <c:strCache>
                <c:ptCount val="11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شلمچه</c:v>
                </c:pt>
                <c:pt idx="9">
                  <c:v>آستارا</c:v>
                </c:pt>
                <c:pt idx="10">
                  <c:v>سایر</c:v>
                </c:pt>
              </c:strCache>
            </c:strRef>
          </c:cat>
          <c:val>
            <c:numRef>
              <c:f>'33'!$R$25:$R$35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395627</c:v>
                </c:pt>
                <c:pt idx="3">
                  <c:v>176</c:v>
                </c:pt>
                <c:pt idx="4">
                  <c:v>1044376</c:v>
                </c:pt>
                <c:pt idx="5">
                  <c:v>176437</c:v>
                </c:pt>
                <c:pt idx="6">
                  <c:v>29822</c:v>
                </c:pt>
                <c:pt idx="7">
                  <c:v>0</c:v>
                </c:pt>
                <c:pt idx="8">
                  <c:v>0</c:v>
                </c:pt>
                <c:pt idx="9">
                  <c:v>183589</c:v>
                </c:pt>
                <c:pt idx="10">
                  <c:v>10205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6-4C70-B13F-91896D2C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91625168"/>
        <c:axId val="-1691639856"/>
      </c:barChart>
      <c:catAx>
        <c:axId val="-169162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639856"/>
        <c:scaling>
          <c:orientation val="minMax"/>
          <c:max val="6000000.000000000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25168"/>
        <c:crosses val="autoZero"/>
        <c:crossBetween val="between"/>
        <c:majorUnit val="2000000"/>
        <c:minorUnit val="100000"/>
        <c:dispUnits>
          <c:builtInUnit val="millions"/>
          <c:dispUnitsLbl>
            <c:layout>
              <c:manualLayout>
                <c:xMode val="edge"/>
                <c:yMode val="edge"/>
                <c:x val="1.2510221302266169E-2"/>
                <c:y val="0.1441212817147856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Mitra"/>
                    </a:defRPr>
                  </a:pPr>
                  <a:r>
                    <a:rPr lang="fa-IR"/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4814431499792"/>
          <c:y val="0.309778701520178"/>
          <c:w val="0.10546612401691347"/>
          <c:h val="0.16513503070999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5 - تن كيلومتر بار وارده راه آهن درسالهاي 1401- 1400</a:t>
            </a:r>
          </a:p>
        </c:rich>
      </c:tx>
      <c:layout>
        <c:manualLayout>
          <c:xMode val="edge"/>
          <c:yMode val="edge"/>
          <c:x val="0.17847731799482511"/>
          <c:y val="1.831598322936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4538820945255"/>
          <c:y val="0.11551256092988377"/>
          <c:w val="0.86072820684648466"/>
          <c:h val="0.7581276885843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'33'!$V$24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'33'!$U$25:$U$33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بندراميرآباد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'33'!$V$25:$V$33</c:f>
              <c:numCache>
                <c:formatCode>#,##0</c:formatCode>
                <c:ptCount val="9"/>
                <c:pt idx="0">
                  <c:v>0</c:v>
                </c:pt>
                <c:pt idx="1">
                  <c:v>2701851</c:v>
                </c:pt>
                <c:pt idx="2">
                  <c:v>0</c:v>
                </c:pt>
                <c:pt idx="3">
                  <c:v>23140594</c:v>
                </c:pt>
                <c:pt idx="4">
                  <c:v>168562931</c:v>
                </c:pt>
                <c:pt idx="5">
                  <c:v>2045850</c:v>
                </c:pt>
                <c:pt idx="6">
                  <c:v>0</c:v>
                </c:pt>
                <c:pt idx="7">
                  <c:v>22748850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5-433E-B746-1B4AC3E78488}"/>
            </c:ext>
          </c:extLst>
        </c:ser>
        <c:ser>
          <c:idx val="1"/>
          <c:order val="1"/>
          <c:tx>
            <c:strRef>
              <c:f>'33'!$W$24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'33'!$U$25:$U$33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بندراميرآباد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'33'!$W$25:$W$33</c:f>
              <c:numCache>
                <c:formatCode>#,##0</c:formatCode>
                <c:ptCount val="9"/>
                <c:pt idx="0">
                  <c:v>0</c:v>
                </c:pt>
                <c:pt idx="1">
                  <c:v>3788147</c:v>
                </c:pt>
                <c:pt idx="2">
                  <c:v>82669</c:v>
                </c:pt>
                <c:pt idx="3">
                  <c:v>18258958</c:v>
                </c:pt>
                <c:pt idx="4">
                  <c:v>115391448</c:v>
                </c:pt>
                <c:pt idx="5">
                  <c:v>131100</c:v>
                </c:pt>
                <c:pt idx="6">
                  <c:v>0</c:v>
                </c:pt>
                <c:pt idx="7">
                  <c:v>34788750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5-433E-B746-1B4AC3E78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91627344"/>
        <c:axId val="-1691626800"/>
      </c:barChart>
      <c:catAx>
        <c:axId val="-169162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2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626800"/>
        <c:scaling>
          <c:orientation val="minMax"/>
          <c:max val="240000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;[Red]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27344"/>
        <c:crosses val="autoZero"/>
        <c:crossBetween val="between"/>
        <c:majorUnit val="200000000"/>
        <c:dispUnits>
          <c:builtInUnit val="millions"/>
          <c:dispUnitsLbl>
            <c:layout>
              <c:manualLayout>
                <c:xMode val="edge"/>
                <c:yMode val="edge"/>
                <c:x val="5.3932354200405784E-3"/>
                <c:y val="0.1291188601424821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5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 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37368999087869"/>
          <c:y val="0.33034325254797697"/>
          <c:w val="0.12199102771727999"/>
          <c:h val="0.170700207928554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6 - تن كيلومتر بار صادره راه آهن درسالهاي1401- 1400</a:t>
            </a:r>
          </a:p>
        </c:rich>
      </c:tx>
      <c:layout>
        <c:manualLayout>
          <c:xMode val="edge"/>
          <c:yMode val="edge"/>
          <c:x val="0.16953468316460443"/>
          <c:y val="4.2953612521672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8728323699421"/>
          <c:y val="0.14201270533089366"/>
          <c:w val="0.8477842003853564"/>
          <c:h val="0.71004214551510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'33'!$AA$24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'33'!$Z$25:$Z$35</c:f>
              <c:strCache>
                <c:ptCount val="11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شلمچه</c:v>
                </c:pt>
                <c:pt idx="9">
                  <c:v>آستارا</c:v>
                </c:pt>
                <c:pt idx="10">
                  <c:v>سایر</c:v>
                </c:pt>
              </c:strCache>
            </c:strRef>
          </c:cat>
          <c:val>
            <c:numRef>
              <c:f>'33'!$AA$25:$AA$35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47140076</c:v>
                </c:pt>
                <c:pt idx="3">
                  <c:v>0</c:v>
                </c:pt>
                <c:pt idx="4">
                  <c:v>253292928</c:v>
                </c:pt>
                <c:pt idx="5">
                  <c:v>301570844</c:v>
                </c:pt>
                <c:pt idx="6">
                  <c:v>5937625</c:v>
                </c:pt>
                <c:pt idx="7">
                  <c:v>0</c:v>
                </c:pt>
                <c:pt idx="8">
                  <c:v>0</c:v>
                </c:pt>
                <c:pt idx="9">
                  <c:v>29872650</c:v>
                </c:pt>
                <c:pt idx="10">
                  <c:v>256109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12F-9B2C-3859606263C5}"/>
            </c:ext>
          </c:extLst>
        </c:ser>
        <c:ser>
          <c:idx val="1"/>
          <c:order val="1"/>
          <c:tx>
            <c:strRef>
              <c:f>'33'!$AB$24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'33'!$Z$25:$Z$35</c:f>
              <c:strCache>
                <c:ptCount val="11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شلمچه</c:v>
                </c:pt>
                <c:pt idx="9">
                  <c:v>آستارا</c:v>
                </c:pt>
                <c:pt idx="10">
                  <c:v>سایر</c:v>
                </c:pt>
              </c:strCache>
            </c:strRef>
          </c:cat>
          <c:val>
            <c:numRef>
              <c:f>'33'!$AB$25:$AB$35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59838170</c:v>
                </c:pt>
                <c:pt idx="3">
                  <c:v>279401</c:v>
                </c:pt>
                <c:pt idx="4">
                  <c:v>241296165</c:v>
                </c:pt>
                <c:pt idx="5">
                  <c:v>149182416</c:v>
                </c:pt>
                <c:pt idx="6">
                  <c:v>4473300</c:v>
                </c:pt>
                <c:pt idx="7">
                  <c:v>0</c:v>
                </c:pt>
                <c:pt idx="8">
                  <c:v>0</c:v>
                </c:pt>
                <c:pt idx="9">
                  <c:v>27538350</c:v>
                </c:pt>
                <c:pt idx="10">
                  <c:v>7059382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0-412F-9B2C-385960626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91637680"/>
        <c:axId val="-1691630608"/>
      </c:barChart>
      <c:catAx>
        <c:axId val="-169163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630608"/>
        <c:scaling>
          <c:orientation val="minMax"/>
          <c:max val="5000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76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121457489878543E-2"/>
                <c:y val="0.1281464530892448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 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7315335583044"/>
          <c:y val="0.30714801641961853"/>
          <c:w val="0.11753730783652039"/>
          <c:h val="0.17534782042584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نمودارشماره 7 - تعداد واگن هاي بارگيري شده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1401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1400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719628130595825"/>
          <c:y val="1.319256880599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5732087227414"/>
          <c:y val="0.11181434599156118"/>
          <c:w val="0.864797507788162"/>
          <c:h val="0.64470358802914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'39'!$B$20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'39'!$A$21:$A$41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'39'!$B$21:$B$40</c:f>
              <c:numCache>
                <c:formatCode>#,##0</c:formatCode>
                <c:ptCount val="20"/>
                <c:pt idx="0">
                  <c:v>75930</c:v>
                </c:pt>
                <c:pt idx="1">
                  <c:v>5518</c:v>
                </c:pt>
                <c:pt idx="2">
                  <c:v>19096</c:v>
                </c:pt>
                <c:pt idx="3">
                  <c:v>35542</c:v>
                </c:pt>
                <c:pt idx="4">
                  <c:v>3648</c:v>
                </c:pt>
                <c:pt idx="5">
                  <c:v>20941</c:v>
                </c:pt>
                <c:pt idx="6">
                  <c:v>6101</c:v>
                </c:pt>
                <c:pt idx="7">
                  <c:v>6446</c:v>
                </c:pt>
                <c:pt idx="8">
                  <c:v>40685</c:v>
                </c:pt>
                <c:pt idx="9">
                  <c:v>5587</c:v>
                </c:pt>
                <c:pt idx="10">
                  <c:v>34158</c:v>
                </c:pt>
                <c:pt idx="11">
                  <c:v>61663</c:v>
                </c:pt>
                <c:pt idx="12">
                  <c:v>166881</c:v>
                </c:pt>
                <c:pt idx="13">
                  <c:v>20796</c:v>
                </c:pt>
                <c:pt idx="14">
                  <c:v>4619</c:v>
                </c:pt>
                <c:pt idx="15">
                  <c:v>114588</c:v>
                </c:pt>
                <c:pt idx="16">
                  <c:v>3297</c:v>
                </c:pt>
                <c:pt idx="17">
                  <c:v>2110</c:v>
                </c:pt>
                <c:pt idx="18">
                  <c:v>76688</c:v>
                </c:pt>
                <c:pt idx="19">
                  <c:v>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5-44AB-9B19-CAE322F71608}"/>
            </c:ext>
          </c:extLst>
        </c:ser>
        <c:ser>
          <c:idx val="1"/>
          <c:order val="1"/>
          <c:tx>
            <c:strRef>
              <c:f>'39'!$C$20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'39'!$A$21:$A$41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'39'!$C$21:$C$41</c:f>
              <c:numCache>
                <c:formatCode>#,##0</c:formatCode>
                <c:ptCount val="21"/>
                <c:pt idx="0">
                  <c:v>66324</c:v>
                </c:pt>
                <c:pt idx="1">
                  <c:v>7826</c:v>
                </c:pt>
                <c:pt idx="2">
                  <c:v>19510</c:v>
                </c:pt>
                <c:pt idx="3">
                  <c:v>34624</c:v>
                </c:pt>
                <c:pt idx="4">
                  <c:v>4205</c:v>
                </c:pt>
                <c:pt idx="5">
                  <c:v>22334</c:v>
                </c:pt>
                <c:pt idx="6">
                  <c:v>6952</c:v>
                </c:pt>
                <c:pt idx="7">
                  <c:v>7395</c:v>
                </c:pt>
                <c:pt idx="8">
                  <c:v>42842</c:v>
                </c:pt>
                <c:pt idx="9">
                  <c:v>2767</c:v>
                </c:pt>
                <c:pt idx="10">
                  <c:v>23947</c:v>
                </c:pt>
                <c:pt idx="11">
                  <c:v>49602</c:v>
                </c:pt>
                <c:pt idx="12">
                  <c:v>150203</c:v>
                </c:pt>
                <c:pt idx="13">
                  <c:v>22839</c:v>
                </c:pt>
                <c:pt idx="14">
                  <c:v>2893</c:v>
                </c:pt>
                <c:pt idx="15">
                  <c:v>105545</c:v>
                </c:pt>
                <c:pt idx="16">
                  <c:v>5488</c:v>
                </c:pt>
                <c:pt idx="17">
                  <c:v>2834</c:v>
                </c:pt>
                <c:pt idx="18">
                  <c:v>88696</c:v>
                </c:pt>
                <c:pt idx="19">
                  <c:v>5672</c:v>
                </c:pt>
                <c:pt idx="20">
                  <c:v>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5-44AB-9B19-CAE322F7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91636592"/>
        <c:axId val="-1691630064"/>
      </c:barChart>
      <c:catAx>
        <c:axId val="-169163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0064"/>
        <c:crosses val="autoZero"/>
        <c:auto val="1"/>
        <c:lblAlgn val="ctr"/>
        <c:lblOffset val="10"/>
        <c:tickMarkSkip val="1"/>
        <c:noMultiLvlLbl val="0"/>
      </c:catAx>
      <c:valAx>
        <c:axId val="-169163006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6592"/>
        <c:crosses val="autoZero"/>
        <c:crossBetween val="between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1.869158878504673E-3"/>
                <c:y val="8.394298813914082E-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هزارواگن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77479333774868"/>
          <c:y val="0.28854261638347833"/>
          <c:w val="9.9691809551843369E-2"/>
          <c:h val="0.152275839821698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u="none" strike="noStrike" baseline="0">
                <a:solidFill>
                  <a:srgbClr val="000099"/>
                </a:solidFill>
                <a:cs typeface="B Roya"/>
              </a:rPr>
              <a:t>نمودار شماره 8 - تناژ بار بارگيري شده درسالهاي </a:t>
            </a:r>
            <a:r>
              <a:rPr lang="en-US" sz="1200" b="1" i="0" u="none" strike="noStrike" baseline="0">
                <a:solidFill>
                  <a:srgbClr val="000099"/>
                </a:solidFill>
                <a:cs typeface="B Roya"/>
              </a:rPr>
              <a:t>1401</a:t>
            </a:r>
            <a:r>
              <a:rPr lang="fa-IR" sz="1200" b="1" i="0" u="none" strike="noStrike" baseline="0">
                <a:solidFill>
                  <a:srgbClr val="000099"/>
                </a:solidFill>
                <a:cs typeface="B Roya"/>
              </a:rPr>
              <a:t>-</a:t>
            </a:r>
            <a:r>
              <a:rPr lang="en-US" sz="1200" b="1" i="0" u="none" strike="noStrike" baseline="0">
                <a:solidFill>
                  <a:srgbClr val="000099"/>
                </a:solidFill>
                <a:cs typeface="B Roya"/>
              </a:rPr>
              <a:t>1400</a:t>
            </a:r>
            <a:r>
              <a:rPr lang="fa-IR" sz="1200" b="1" i="0" u="none" strike="noStrike" baseline="0">
                <a:solidFill>
                  <a:srgbClr val="000099"/>
                </a:solidFill>
                <a:cs typeface="B Roya"/>
              </a:rPr>
              <a:t> </a:t>
            </a:r>
          </a:p>
        </c:rich>
      </c:tx>
      <c:layout>
        <c:manualLayout>
          <c:xMode val="edge"/>
          <c:yMode val="edge"/>
          <c:x val="0.23468210130450115"/>
          <c:y val="9.29194195553142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0375939849623"/>
          <c:y val="0.11364544494974027"/>
          <c:w val="0.88157894736842102"/>
          <c:h val="0.6321502655205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'41'!$B$21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Up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'41'!$A$22:$A$42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'41'!$B$22:$B$41</c:f>
              <c:numCache>
                <c:formatCode>#,##0</c:formatCode>
                <c:ptCount val="20"/>
                <c:pt idx="0">
                  <c:v>4117065</c:v>
                </c:pt>
                <c:pt idx="1">
                  <c:v>317327</c:v>
                </c:pt>
                <c:pt idx="2">
                  <c:v>1079383</c:v>
                </c:pt>
                <c:pt idx="3">
                  <c:v>1810991</c:v>
                </c:pt>
                <c:pt idx="4">
                  <c:v>211238</c:v>
                </c:pt>
                <c:pt idx="5">
                  <c:v>1108936</c:v>
                </c:pt>
                <c:pt idx="6">
                  <c:v>349978</c:v>
                </c:pt>
                <c:pt idx="7">
                  <c:v>398307</c:v>
                </c:pt>
                <c:pt idx="8">
                  <c:v>1992466</c:v>
                </c:pt>
                <c:pt idx="9">
                  <c:v>357143</c:v>
                </c:pt>
                <c:pt idx="10">
                  <c:v>1396213</c:v>
                </c:pt>
                <c:pt idx="11">
                  <c:v>3806533</c:v>
                </c:pt>
                <c:pt idx="12">
                  <c:v>12390354</c:v>
                </c:pt>
                <c:pt idx="13">
                  <c:v>1311435</c:v>
                </c:pt>
                <c:pt idx="14">
                  <c:v>149667</c:v>
                </c:pt>
                <c:pt idx="15">
                  <c:v>6786498</c:v>
                </c:pt>
                <c:pt idx="16">
                  <c:v>227314</c:v>
                </c:pt>
                <c:pt idx="17">
                  <c:v>136530</c:v>
                </c:pt>
                <c:pt idx="18">
                  <c:v>5657333</c:v>
                </c:pt>
                <c:pt idx="19">
                  <c:v>306289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B-46E3-B9BC-ECAD3AA63399}"/>
            </c:ext>
          </c:extLst>
        </c:ser>
        <c:ser>
          <c:idx val="1"/>
          <c:order val="1"/>
          <c:tx>
            <c:strRef>
              <c:f>'41'!$C$21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'41'!$A$22:$A$42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'41'!$C$22:$C$42</c:f>
              <c:numCache>
                <c:formatCode>#,##0</c:formatCode>
                <c:ptCount val="21"/>
                <c:pt idx="0">
                  <c:v>3386791</c:v>
                </c:pt>
                <c:pt idx="1">
                  <c:v>445659</c:v>
                </c:pt>
                <c:pt idx="2">
                  <c:v>1103928</c:v>
                </c:pt>
                <c:pt idx="3">
                  <c:v>1824124</c:v>
                </c:pt>
                <c:pt idx="4">
                  <c:v>240504</c:v>
                </c:pt>
                <c:pt idx="5">
                  <c:v>1283202</c:v>
                </c:pt>
                <c:pt idx="6">
                  <c:v>404291</c:v>
                </c:pt>
                <c:pt idx="7">
                  <c:v>454634</c:v>
                </c:pt>
                <c:pt idx="8">
                  <c:v>2360397</c:v>
                </c:pt>
                <c:pt idx="9">
                  <c:v>173024</c:v>
                </c:pt>
                <c:pt idx="10">
                  <c:v>1008206</c:v>
                </c:pt>
                <c:pt idx="11">
                  <c:v>3087631</c:v>
                </c:pt>
                <c:pt idx="12">
                  <c:v>11074971</c:v>
                </c:pt>
                <c:pt idx="13">
                  <c:v>1449787</c:v>
                </c:pt>
                <c:pt idx="14">
                  <c:v>121014</c:v>
                </c:pt>
                <c:pt idx="15">
                  <c:v>6298599</c:v>
                </c:pt>
                <c:pt idx="16">
                  <c:v>350826</c:v>
                </c:pt>
                <c:pt idx="17">
                  <c:v>176581</c:v>
                </c:pt>
                <c:pt idx="18">
                  <c:v>6761345</c:v>
                </c:pt>
                <c:pt idx="19">
                  <c:v>377485</c:v>
                </c:pt>
                <c:pt idx="20">
                  <c:v>339861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B-46E3-B9BC-ECAD3AA6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6232896"/>
        <c:axId val="-166234528"/>
      </c:barChart>
      <c:catAx>
        <c:axId val="-16623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6234528"/>
        <c:crosses val="autoZero"/>
        <c:auto val="1"/>
        <c:lblAlgn val="ctr"/>
        <c:lblOffset val="10"/>
        <c:tickLblSkip val="1"/>
        <c:tickMarkSkip val="1"/>
        <c:noMultiLvlLbl val="0"/>
      </c:catAx>
      <c:valAx>
        <c:axId val="-166234528"/>
        <c:scaling>
          <c:orientation val="minMax"/>
          <c:max val="1800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62328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9.3984962406015032E-3"/>
                <c:y val="0.11252589898175928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333399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631605750773691"/>
          <c:y val="0.24348025462334449"/>
          <c:w val="0.11095330434441963"/>
          <c:h val="0.15521253808791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1800" b="1" i="0" u="none" strike="noStrike" baseline="0">
                <a:solidFill>
                  <a:srgbClr val="000099"/>
                </a:solidFill>
                <a:cs typeface="B Roya"/>
              </a:rPr>
              <a:t>نمودار شماره 9 - تناژبار بارگيري شده به تفكيك مواد در سالهاي 1402- </a:t>
            </a:r>
            <a:r>
              <a:rPr lang="en-US" sz="1800" b="1" i="0" u="none" strike="noStrike" baseline="0">
                <a:solidFill>
                  <a:srgbClr val="000099"/>
                </a:solidFill>
                <a:cs typeface="B Roya"/>
              </a:rPr>
              <a:t>1397</a:t>
            </a:r>
            <a:endParaRPr lang="fa-IR" sz="1800" b="1" i="0" u="none" strike="noStrike" baseline="0">
              <a:solidFill>
                <a:srgbClr val="0000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16610941758135225"/>
          <c:y val="2.335048411224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265625E-2"/>
          <c:y val="0.11279807597272098"/>
          <c:w val="0.875"/>
          <c:h val="0.78092214937567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'46'!$B$3</c:f>
              <c:strCache>
                <c:ptCount val="1"/>
                <c:pt idx="0">
                  <c:v>1397</c:v>
                </c:pt>
              </c:strCache>
            </c:strRef>
          </c:tx>
          <c:spPr>
            <a:pattFill prst="dkUpDiag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'46'!$A$4:$A$10</c:f>
              <c:strCache>
                <c:ptCount val="7"/>
                <c:pt idx="0">
                  <c:v>مواد نفتي</c:v>
                </c:pt>
                <c:pt idx="1">
                  <c:v>مواد معدني</c:v>
                </c:pt>
                <c:pt idx="2">
                  <c:v>مواد كشاورزي</c:v>
                </c:pt>
                <c:pt idx="3">
                  <c:v>مواد غذايي</c:v>
                </c:pt>
                <c:pt idx="4">
                  <c:v>مواد صنعتي</c:v>
                </c:pt>
                <c:pt idx="5">
                  <c:v>سايرمحمولات</c:v>
                </c:pt>
                <c:pt idx="6">
                  <c:v>توشه و حمل خودرو</c:v>
                </c:pt>
              </c:strCache>
            </c:strRef>
          </c:cat>
          <c:val>
            <c:numRef>
              <c:f>'46'!$B$4:$B$10</c:f>
              <c:numCache>
                <c:formatCode>#,##0</c:formatCode>
                <c:ptCount val="7"/>
                <c:pt idx="0">
                  <c:v>3725</c:v>
                </c:pt>
                <c:pt idx="1">
                  <c:v>36315</c:v>
                </c:pt>
                <c:pt idx="2">
                  <c:v>1587</c:v>
                </c:pt>
                <c:pt idx="3">
                  <c:v>989</c:v>
                </c:pt>
                <c:pt idx="4">
                  <c:v>4138</c:v>
                </c:pt>
                <c:pt idx="5">
                  <c:v>3566</c:v>
                </c:pt>
                <c:pt idx="6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2-4A8A-9545-36E7CE121D06}"/>
            </c:ext>
          </c:extLst>
        </c:ser>
        <c:ser>
          <c:idx val="3"/>
          <c:order val="1"/>
          <c:tx>
            <c:strRef>
              <c:f>'46'!$C$3</c:f>
              <c:strCache>
                <c:ptCount val="1"/>
                <c:pt idx="0">
                  <c:v>1398</c:v>
                </c:pt>
              </c:strCache>
            </c:strRef>
          </c:tx>
          <c:spPr>
            <a:pattFill prst="lgConfetti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'46'!$A$4:$A$10</c:f>
              <c:strCache>
                <c:ptCount val="7"/>
                <c:pt idx="0">
                  <c:v>مواد نفتي</c:v>
                </c:pt>
                <c:pt idx="1">
                  <c:v>مواد معدني</c:v>
                </c:pt>
                <c:pt idx="2">
                  <c:v>مواد كشاورزي</c:v>
                </c:pt>
                <c:pt idx="3">
                  <c:v>مواد غذايي</c:v>
                </c:pt>
                <c:pt idx="4">
                  <c:v>مواد صنعتي</c:v>
                </c:pt>
                <c:pt idx="5">
                  <c:v>سايرمحمولات</c:v>
                </c:pt>
                <c:pt idx="6">
                  <c:v>توشه و حمل خودرو</c:v>
                </c:pt>
              </c:strCache>
            </c:strRef>
          </c:cat>
          <c:val>
            <c:numRef>
              <c:f>'46'!$C$4:$C$10</c:f>
              <c:numCache>
                <c:formatCode>#,##0</c:formatCode>
                <c:ptCount val="7"/>
                <c:pt idx="0">
                  <c:v>3994</c:v>
                </c:pt>
                <c:pt idx="1">
                  <c:v>33579</c:v>
                </c:pt>
                <c:pt idx="2">
                  <c:v>1614</c:v>
                </c:pt>
                <c:pt idx="3">
                  <c:v>875</c:v>
                </c:pt>
                <c:pt idx="4">
                  <c:v>4129</c:v>
                </c:pt>
                <c:pt idx="5">
                  <c:v>2550</c:v>
                </c:pt>
                <c:pt idx="6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2-4A8A-9545-36E7CE121D06}"/>
            </c:ext>
          </c:extLst>
        </c:ser>
        <c:ser>
          <c:idx val="4"/>
          <c:order val="2"/>
          <c:tx>
            <c:strRef>
              <c:f>'46'!$D$3</c:f>
              <c:strCache>
                <c:ptCount val="1"/>
                <c:pt idx="0">
                  <c:v>1399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'46'!$A$4:$A$10</c:f>
              <c:strCache>
                <c:ptCount val="7"/>
                <c:pt idx="0">
                  <c:v>مواد نفتي</c:v>
                </c:pt>
                <c:pt idx="1">
                  <c:v>مواد معدني</c:v>
                </c:pt>
                <c:pt idx="2">
                  <c:v>مواد كشاورزي</c:v>
                </c:pt>
                <c:pt idx="3">
                  <c:v>مواد غذايي</c:v>
                </c:pt>
                <c:pt idx="4">
                  <c:v>مواد صنعتي</c:v>
                </c:pt>
                <c:pt idx="5">
                  <c:v>سايرمحمولات</c:v>
                </c:pt>
                <c:pt idx="6">
                  <c:v>توشه و حمل خودرو</c:v>
                </c:pt>
              </c:strCache>
            </c:strRef>
          </c:cat>
          <c:val>
            <c:numRef>
              <c:f>'46'!$D$4:$D$10</c:f>
              <c:numCache>
                <c:formatCode>#,##0</c:formatCode>
                <c:ptCount val="7"/>
                <c:pt idx="0">
                  <c:v>4540</c:v>
                </c:pt>
                <c:pt idx="1">
                  <c:v>33658.436000000002</c:v>
                </c:pt>
                <c:pt idx="2">
                  <c:v>1964.355</c:v>
                </c:pt>
                <c:pt idx="3">
                  <c:v>1021.818</c:v>
                </c:pt>
                <c:pt idx="4">
                  <c:v>4374.3019999999997</c:v>
                </c:pt>
                <c:pt idx="5">
                  <c:v>4797.6769999999997</c:v>
                </c:pt>
                <c:pt idx="6">
                  <c:v>207.68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2-4A8A-9545-36E7CE121D06}"/>
            </c:ext>
          </c:extLst>
        </c:ser>
        <c:ser>
          <c:idx val="0"/>
          <c:order val="3"/>
          <c:tx>
            <c:strRef>
              <c:f>'46'!$E$3</c:f>
              <c:strCache>
                <c:ptCount val="1"/>
                <c:pt idx="0">
                  <c:v>1400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chemeClr val="bg1"/>
              </a:bgClr>
            </a:pattFill>
            <a:ln w="9525" cap="flat" cmpd="sng">
              <a:solidFill>
                <a:srgbClr val="000000"/>
              </a:solidFill>
              <a:round/>
            </a:ln>
          </c:spPr>
          <c:invertIfNegative val="0"/>
          <c:val>
            <c:numRef>
              <c:f>'46'!$E$4:$E$10</c:f>
              <c:numCache>
                <c:formatCode>#,##0</c:formatCode>
                <c:ptCount val="7"/>
                <c:pt idx="0">
                  <c:v>4537.348</c:v>
                </c:pt>
                <c:pt idx="1">
                  <c:v>29011.115000000002</c:v>
                </c:pt>
                <c:pt idx="2">
                  <c:v>1989.932</c:v>
                </c:pt>
                <c:pt idx="3" formatCode="0">
                  <c:v>988.53200000000004</c:v>
                </c:pt>
                <c:pt idx="4">
                  <c:v>4223.1049999999996</c:v>
                </c:pt>
                <c:pt idx="5">
                  <c:v>5896.7599999999939</c:v>
                </c:pt>
                <c:pt idx="6" formatCode="0">
                  <c:v>265.65499999999997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22-4A8A-9545-36E7CE121D06}"/>
            </c:ext>
          </c:extLst>
        </c:ser>
        <c:ser>
          <c:idx val="1"/>
          <c:order val="4"/>
          <c:tx>
            <c:strRef>
              <c:f>'46'!$F$3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'46'!$F$4:$F$10</c:f>
              <c:numCache>
                <c:formatCode>#,##0</c:formatCode>
                <c:ptCount val="7"/>
                <c:pt idx="0">
                  <c:v>4452.107</c:v>
                </c:pt>
                <c:pt idx="1">
                  <c:v>27758.35</c:v>
                </c:pt>
                <c:pt idx="2">
                  <c:v>2000.4190000000001</c:v>
                </c:pt>
                <c:pt idx="3">
                  <c:v>871.20500000000004</c:v>
                </c:pt>
                <c:pt idx="4">
                  <c:v>3773.24</c:v>
                </c:pt>
                <c:pt idx="5">
                  <c:v>5316.6769999999997</c:v>
                </c:pt>
                <c:pt idx="6">
                  <c:v>266.86500000000001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22-4A8A-9545-36E7CE121D06}"/>
            </c:ext>
          </c:extLst>
        </c:ser>
        <c:ser>
          <c:idx val="5"/>
          <c:order val="5"/>
          <c:tx>
            <c:v>1402</c:v>
          </c:tx>
          <c:spPr>
            <a:pattFill prst="sphere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'46'!$G$4:$G$10</c:f>
              <c:numCache>
                <c:formatCode>#,##0</c:formatCode>
                <c:ptCount val="7"/>
                <c:pt idx="0">
                  <c:v>4062.9670000000001</c:v>
                </c:pt>
                <c:pt idx="1">
                  <c:v>27238.928</c:v>
                </c:pt>
                <c:pt idx="2">
                  <c:v>1936.5039999999999</c:v>
                </c:pt>
                <c:pt idx="3">
                  <c:v>776.16200000000003</c:v>
                </c:pt>
                <c:pt idx="4">
                  <c:v>3281.8969999999999</c:v>
                </c:pt>
                <c:pt idx="5">
                  <c:v>5426.402</c:v>
                </c:pt>
                <c:pt idx="6">
                  <c:v>254.32499999999999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22-4A8A-9545-36E7CE12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555554544"/>
        <c:axId val="-1555574672"/>
      </c:barChart>
      <c:catAx>
        <c:axId val="-155555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-155557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5557467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555554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224463380433611E-2"/>
                <c:y val="0.11418723025730571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400" b="1" i="0" u="none" strike="noStrike" baseline="0">
                      <a:solidFill>
                        <a:srgbClr val="000099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>
                      <a:solidFill>
                        <a:srgbClr val="000099"/>
                      </a:solidFill>
                    </a:rPr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90406842099595"/>
          <c:y val="0.21301563296237241"/>
          <c:w val="5.5071038486810213E-2"/>
          <c:h val="0.282621274637121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chemeClr val="tx1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chemeClr val="tx1"/>
                </a:solidFill>
                <a:cs typeface="B Nazanin" panose="00000400000000000000" pitchFamily="2" charset="-78"/>
              </a:rPr>
              <a:t>نمودار شماره 10 - تن كيلومتر بار در سالهای</a:t>
            </a:r>
            <a:r>
              <a:rPr lang="en-US" sz="1100" b="1" i="0" u="none" strike="noStrike" baseline="0">
                <a:solidFill>
                  <a:schemeClr val="tx1"/>
                </a:solidFill>
                <a:cs typeface="B Nazanin" panose="00000400000000000000" pitchFamily="2" charset="-78"/>
              </a:rPr>
              <a:t>1402</a:t>
            </a:r>
            <a:r>
              <a:rPr lang="fa-IR" sz="1100" b="1" i="0" u="none" strike="noStrike" baseline="0">
                <a:solidFill>
                  <a:schemeClr val="tx1"/>
                </a:solidFill>
                <a:cs typeface="B Nazanin" panose="00000400000000000000" pitchFamily="2" charset="-78"/>
              </a:rPr>
              <a:t>-</a:t>
            </a:r>
            <a:r>
              <a:rPr lang="en-US" sz="1100" b="1" i="0" u="none" strike="noStrike" baseline="0">
                <a:solidFill>
                  <a:schemeClr val="tx1"/>
                </a:solidFill>
                <a:cs typeface="B Nazanin" panose="00000400000000000000" pitchFamily="2" charset="-78"/>
              </a:rPr>
              <a:t>1401</a:t>
            </a:r>
            <a:endParaRPr lang="fa-IR" sz="1100" b="1" i="0" u="none" strike="noStrike" baseline="0">
              <a:solidFill>
                <a:schemeClr val="tx1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21951219512195122"/>
          <c:y val="3.66854958347597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56285178236398E-2"/>
          <c:y val="0.11028102547787587"/>
          <c:w val="0.88930581613508441"/>
          <c:h val="0.67841830377263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'49'!$B$21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'49'!$A$22:$A$42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شمالشرق1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كرمان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'49'!$B$22:$B$41</c:f>
              <c:numCache>
                <c:formatCode>#,##0</c:formatCode>
                <c:ptCount val="20"/>
                <c:pt idx="0">
                  <c:v>1166045.3199999998</c:v>
                </c:pt>
                <c:pt idx="1">
                  <c:v>758664.17899999977</c:v>
                </c:pt>
                <c:pt idx="2">
                  <c:v>868176.58599999989</c:v>
                </c:pt>
                <c:pt idx="3">
                  <c:v>909305.53500000003</c:v>
                </c:pt>
                <c:pt idx="4">
                  <c:v>362623.52699999994</c:v>
                </c:pt>
                <c:pt idx="5">
                  <c:v>368170.17299999995</c:v>
                </c:pt>
                <c:pt idx="6">
                  <c:v>934409.45900000003</c:v>
                </c:pt>
                <c:pt idx="7">
                  <c:v>67788.304000000004</c:v>
                </c:pt>
                <c:pt idx="8">
                  <c:v>815931.31899999978</c:v>
                </c:pt>
                <c:pt idx="9">
                  <c:v>525685.83400000003</c:v>
                </c:pt>
                <c:pt idx="10">
                  <c:v>665983.98400000005</c:v>
                </c:pt>
                <c:pt idx="11">
                  <c:v>4786952.9510000004</c:v>
                </c:pt>
                <c:pt idx="12">
                  <c:v>5480048.2979999995</c:v>
                </c:pt>
                <c:pt idx="13">
                  <c:v>617666.45499999996</c:v>
                </c:pt>
                <c:pt idx="14">
                  <c:v>178148.351</c:v>
                </c:pt>
                <c:pt idx="15">
                  <c:v>5693893.7769999998</c:v>
                </c:pt>
                <c:pt idx="16">
                  <c:v>893057.9879999999</c:v>
                </c:pt>
                <c:pt idx="17">
                  <c:v>843163.94200000004</c:v>
                </c:pt>
                <c:pt idx="18">
                  <c:v>3877733.68</c:v>
                </c:pt>
                <c:pt idx="19">
                  <c:v>102635.60400000001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4-4027-8EE5-1B3F0EB486FF}"/>
            </c:ext>
          </c:extLst>
        </c:ser>
        <c:ser>
          <c:idx val="1"/>
          <c:order val="1"/>
          <c:tx>
            <c:strRef>
              <c:f>'49'!$C$21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'49'!$A$22:$A$42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شمالشرق1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كرمان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'49'!$C$22:$C$42</c:f>
              <c:numCache>
                <c:formatCode>#,##0</c:formatCode>
                <c:ptCount val="21"/>
                <c:pt idx="0">
                  <c:v>1128199.4189999998</c:v>
                </c:pt>
                <c:pt idx="1">
                  <c:v>763738.98599999992</c:v>
                </c:pt>
                <c:pt idx="2">
                  <c:v>896889.38900000008</c:v>
                </c:pt>
                <c:pt idx="3">
                  <c:v>820218.076</c:v>
                </c:pt>
                <c:pt idx="4">
                  <c:v>248452.54600000003</c:v>
                </c:pt>
                <c:pt idx="5">
                  <c:v>353847.23099999997</c:v>
                </c:pt>
                <c:pt idx="6">
                  <c:v>958538.26099999982</c:v>
                </c:pt>
                <c:pt idx="7">
                  <c:v>73563.218999999997</c:v>
                </c:pt>
                <c:pt idx="8">
                  <c:v>889929.41599999997</c:v>
                </c:pt>
                <c:pt idx="9">
                  <c:v>357591.32199999999</c:v>
                </c:pt>
                <c:pt idx="10">
                  <c:v>477670.29300000006</c:v>
                </c:pt>
                <c:pt idx="11">
                  <c:v>4050388.2340000002</c:v>
                </c:pt>
                <c:pt idx="12">
                  <c:v>5052840.4720000001</c:v>
                </c:pt>
                <c:pt idx="13">
                  <c:v>730362.96399999992</c:v>
                </c:pt>
                <c:pt idx="14">
                  <c:v>175088.10500000004</c:v>
                </c:pt>
                <c:pt idx="15">
                  <c:v>5575257.8959999988</c:v>
                </c:pt>
                <c:pt idx="16">
                  <c:v>855634.98399999994</c:v>
                </c:pt>
                <c:pt idx="17">
                  <c:v>853616.59799999988</c:v>
                </c:pt>
                <c:pt idx="18">
                  <c:v>4469103.5850000009</c:v>
                </c:pt>
                <c:pt idx="19">
                  <c:v>68800.145000000004</c:v>
                </c:pt>
                <c:pt idx="20">
                  <c:v>56145.78300000001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4-4027-8EE5-1B3F0EB48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6233984"/>
        <c:axId val="-166238336"/>
      </c:barChart>
      <c:catAx>
        <c:axId val="-16623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62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23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62339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631644777986242E-2"/>
                <c:y val="0.1039075797343513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000099"/>
                      </a:solidFill>
                      <a:latin typeface="B Roya"/>
                      <a:ea typeface="B Roya"/>
                      <a:cs typeface="B Nazanin" panose="00000400000000000000" pitchFamily="2" charset="-78"/>
                    </a:defRPr>
                  </a:pPr>
                  <a:r>
                    <a:rPr lang="fa-IR">
                      <a:solidFill>
                        <a:srgbClr val="000099"/>
                      </a:solidFill>
                      <a:cs typeface="B Nazanin" panose="00000400000000000000" pitchFamily="2" charset="-78"/>
                    </a:rPr>
                    <a:t>ميليارد تن 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40326385093047"/>
          <c:y val="0.27788276465441825"/>
          <c:w val="0.10506901459081219"/>
          <c:h val="0.1607903178769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Mitr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11 - واحدحمل به تفکیک ماه در سالهاي 1401-1400</a:t>
            </a:r>
          </a:p>
        </c:rich>
      </c:tx>
      <c:layout>
        <c:manualLayout>
          <c:xMode val="edge"/>
          <c:yMode val="edge"/>
          <c:x val="0.18414521218555543"/>
          <c:y val="1.5228488330850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10486891385768"/>
          <c:y val="0.12222222222222222"/>
          <c:w val="0.85580524344569286"/>
          <c:h val="0.70505050505050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'54'!$B$22</c:f>
              <c:strCache>
                <c:ptCount val="1"/>
                <c:pt idx="0">
                  <c:v>1400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('54'!$A$23:$A$34,'54'!$A$35:$A$36)</c:f>
              <c:strCache>
                <c:ptCount val="14"/>
                <c:pt idx="0">
                  <c:v>فروردين 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  <c:pt idx="13">
                  <c:v>ميانگين </c:v>
                </c:pt>
              </c:strCache>
            </c:strRef>
          </c:cat>
          <c:val>
            <c:numRef>
              <c:f>('54'!$B$23:$B$34,'54'!$B$35:$B$36)</c:f>
              <c:numCache>
                <c:formatCode>#,##0</c:formatCode>
                <c:ptCount val="14"/>
                <c:pt idx="0">
                  <c:v>3910735.4079999994</c:v>
                </c:pt>
                <c:pt idx="1">
                  <c:v>3766097.2280000011</c:v>
                </c:pt>
                <c:pt idx="2">
                  <c:v>3606387.7650000001</c:v>
                </c:pt>
                <c:pt idx="3">
                  <c:v>3593870.9799999977</c:v>
                </c:pt>
                <c:pt idx="4">
                  <c:v>3357281.0949999997</c:v>
                </c:pt>
                <c:pt idx="5">
                  <c:v>3557738.1400000006</c:v>
                </c:pt>
                <c:pt idx="6">
                  <c:v>3649765.5220000017</c:v>
                </c:pt>
                <c:pt idx="7">
                  <c:v>3833205.1470000008</c:v>
                </c:pt>
                <c:pt idx="8">
                  <c:v>3740042.9699999997</c:v>
                </c:pt>
                <c:pt idx="9">
                  <c:v>3633425.3809999996</c:v>
                </c:pt>
                <c:pt idx="10">
                  <c:v>3773497.8719999995</c:v>
                </c:pt>
                <c:pt idx="11">
                  <c:v>3729339.356999998</c:v>
                </c:pt>
                <c:pt idx="13">
                  <c:v>3428866.6494999998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A-4381-880C-70EEAB3C5A02}"/>
            </c:ext>
          </c:extLst>
        </c:ser>
        <c:ser>
          <c:idx val="1"/>
          <c:order val="1"/>
          <c:tx>
            <c:strRef>
              <c:f>'54'!$C$22</c:f>
              <c:strCache>
                <c:ptCount val="1"/>
                <c:pt idx="0">
                  <c:v>1401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('54'!$A$23:$A$34,'54'!$A$35:$A$36)</c:f>
              <c:strCache>
                <c:ptCount val="14"/>
                <c:pt idx="0">
                  <c:v>فروردين 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  <c:pt idx="13">
                  <c:v>ميانگين </c:v>
                </c:pt>
              </c:strCache>
            </c:strRef>
          </c:cat>
          <c:val>
            <c:numRef>
              <c:f>('54'!$C$23:$C$34,'54'!$C$35:$C$36)</c:f>
              <c:numCache>
                <c:formatCode>#,##0</c:formatCode>
                <c:ptCount val="14"/>
                <c:pt idx="0">
                  <c:v>4024791.9070000001</c:v>
                </c:pt>
                <c:pt idx="1">
                  <c:v>4056131.04</c:v>
                </c:pt>
                <c:pt idx="2">
                  <c:v>3941277.8300000005</c:v>
                </c:pt>
                <c:pt idx="3">
                  <c:v>3677945.1940000001</c:v>
                </c:pt>
                <c:pt idx="4">
                  <c:v>3675000.3079999997</c:v>
                </c:pt>
                <c:pt idx="5">
                  <c:v>3901539.7719999999</c:v>
                </c:pt>
                <c:pt idx="6">
                  <c:v>3649922.4119999995</c:v>
                </c:pt>
                <c:pt idx="7">
                  <c:v>3863351.4790000003</c:v>
                </c:pt>
                <c:pt idx="8">
                  <c:v>3811041.608</c:v>
                </c:pt>
                <c:pt idx="9">
                  <c:v>3720951.1830000002</c:v>
                </c:pt>
                <c:pt idx="10">
                  <c:v>3970744.7069999999</c:v>
                </c:pt>
                <c:pt idx="11">
                  <c:v>3862222.0829999996</c:v>
                </c:pt>
                <c:pt idx="13">
                  <c:v>3846243.2935833335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A-4381-880C-70EEAB3C5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-1713975184"/>
        <c:axId val="-1713970832"/>
      </c:barChart>
      <c:catAx>
        <c:axId val="-171397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397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3970832"/>
        <c:scaling>
          <c:orientation val="minMax"/>
          <c:max val="5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39751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981300805574096E-2"/>
                <c:y val="0.12944178478171695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solidFill>
                        <a:srgbClr val="000099"/>
                      </a:solidFill>
                      <a:cs typeface="B Nazanin" panose="00000400000000000000" pitchFamily="2" charset="-78"/>
                    </a:rPr>
                    <a:t>ميليارد واحدحمل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24722050193152"/>
          <c:y val="0.11858040717883236"/>
          <c:w val="9.7381422827764463E-2"/>
          <c:h val="0.14343931332907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05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نمودار شماره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12</a:t>
            </a: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  - تناژ بار بارگيري شده به تفكيك مناطق در سال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1401</a:t>
            </a:r>
            <a:endParaRPr lang="en-US" sz="1100" b="1" i="0" u="none" strike="noStrike" baseline="0">
              <a:solidFill>
                <a:srgbClr val="003366"/>
              </a:solidFill>
              <a:cs typeface="B Roya"/>
            </a:endParaRPr>
          </a:p>
        </c:rich>
      </c:tx>
      <c:layout>
        <c:manualLayout>
          <c:xMode val="edge"/>
          <c:yMode val="edge"/>
          <c:x val="0.19115129596142255"/>
          <c:y val="1.3925171118316091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474558059037066"/>
          <c:y val="0.39673221001254716"/>
          <c:w val="0.40897324543292846"/>
          <c:h val="0.3269603554457653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7C-4AA6-B39F-032433548670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7C-4AA6-B39F-032433548670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7C-4AA6-B39F-032433548670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67C-4AA6-B39F-032433548670}"/>
              </c:ext>
            </c:extLst>
          </c:dPt>
          <c:dPt>
            <c:idx val="4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67C-4AA6-B39F-03243354867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67C-4AA6-B39F-032433548670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67C-4AA6-B39F-032433548670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67C-4AA6-B39F-032433548670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67C-4AA6-B39F-032433548670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67C-4AA6-B39F-032433548670}"/>
              </c:ext>
            </c:extLst>
          </c:dPt>
          <c:dPt>
            <c:idx val="1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67C-4AA6-B39F-032433548670}"/>
              </c:ext>
            </c:extLst>
          </c:dPt>
          <c:dPt>
            <c:idx val="1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67C-4AA6-B39F-032433548670}"/>
              </c:ext>
            </c:extLst>
          </c:dPt>
          <c:dPt>
            <c:idx val="1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67C-4AA6-B39F-032433548670}"/>
              </c:ext>
            </c:extLst>
          </c:dPt>
          <c:dPt>
            <c:idx val="1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67C-4AA6-B39F-0324335486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C-667C-4AA6-B39F-0324335486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D-667C-4AA6-B39F-0324335486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E-667C-4AA6-B39F-03243354867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F-667C-4AA6-B39F-03243354867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0-667C-4AA6-B39F-032433548670}"/>
              </c:ext>
            </c:extLst>
          </c:dPt>
          <c:dLbls>
            <c:dLbl>
              <c:idx val="0"/>
              <c:layout>
                <c:manualLayout>
                  <c:x val="-0.10604703446146437"/>
                  <c:y val="-8.0584430817594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C-4AA6-B39F-032433548670}"/>
                </c:ext>
              </c:extLst>
            </c:dLbl>
            <c:dLbl>
              <c:idx val="1"/>
              <c:layout>
                <c:manualLayout>
                  <c:x val="-0.20203367067421749"/>
                  <c:y val="-0.168436656612436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C-4AA6-B39F-032433548670}"/>
                </c:ext>
              </c:extLst>
            </c:dLbl>
            <c:dLbl>
              <c:idx val="2"/>
              <c:layout>
                <c:manualLayout>
                  <c:x val="-0.15207821664296636"/>
                  <c:y val="-0.154146696743083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C-4AA6-B39F-032433548670}"/>
                </c:ext>
              </c:extLst>
            </c:dLbl>
            <c:dLbl>
              <c:idx val="3"/>
              <c:layout>
                <c:manualLayout>
                  <c:x val="-0.11608550154123283"/>
                  <c:y val="-0.144834513550783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C-4AA6-B39F-032433548670}"/>
                </c:ext>
              </c:extLst>
            </c:dLbl>
            <c:dLbl>
              <c:idx val="4"/>
              <c:layout>
                <c:manualLayout>
                  <c:x val="-7.1977476430793788E-2"/>
                  <c:y val="-0.1568363153743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C-4AA6-B39F-032433548670}"/>
                </c:ext>
              </c:extLst>
            </c:dLbl>
            <c:dLbl>
              <c:idx val="5"/>
              <c:layout>
                <c:manualLayout>
                  <c:x val="6.2154945930442745E-3"/>
                  <c:y val="-0.152753217480450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C-4AA6-B39F-032433548670}"/>
                </c:ext>
              </c:extLst>
            </c:dLbl>
            <c:dLbl>
              <c:idx val="6"/>
              <c:layout>
                <c:manualLayout>
                  <c:x val="8.6655027645988189E-2"/>
                  <c:y val="-0.158571519796759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7C-4AA6-B39F-032433548670}"/>
                </c:ext>
              </c:extLst>
            </c:dLbl>
            <c:dLbl>
              <c:idx val="7"/>
              <c:layout>
                <c:manualLayout>
                  <c:x val="0.13824660596423105"/>
                  <c:y val="-0.150124004811766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7C-4AA6-B39F-032433548670}"/>
                </c:ext>
              </c:extLst>
            </c:dLbl>
            <c:dLbl>
              <c:idx val="8"/>
              <c:layout>
                <c:manualLayout>
                  <c:x val="0.18119167588452115"/>
                  <c:y val="-8.07386095928120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7C-4AA6-B39F-032433548670}"/>
                </c:ext>
              </c:extLst>
            </c:dLbl>
            <c:dLbl>
              <c:idx val="9"/>
              <c:layout>
                <c:manualLayout>
                  <c:x val="0.23010434781620651"/>
                  <c:y val="2.39825478544664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7C-4AA6-B39F-032433548670}"/>
                </c:ext>
              </c:extLst>
            </c:dLbl>
            <c:dLbl>
              <c:idx val="10"/>
              <c:layout>
                <c:manualLayout>
                  <c:x val="0.25867973938323041"/>
                  <c:y val="0.111902720182631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7C-4AA6-B39F-032433548670}"/>
                </c:ext>
              </c:extLst>
            </c:dLbl>
            <c:dLbl>
              <c:idx val="11"/>
              <c:layout>
                <c:manualLayout>
                  <c:x val="0.21744510931530683"/>
                  <c:y val="0.198808229350853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2487512498827E-2"/>
                      <c:h val="0.139505743997917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67C-4AA6-B39F-032433548670}"/>
                </c:ext>
              </c:extLst>
            </c:dLbl>
            <c:dLbl>
              <c:idx val="12"/>
              <c:layout>
                <c:manualLayout>
                  <c:x val="0.11619458185217989"/>
                  <c:y val="7.87507356583300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7C-4AA6-B39F-032433548670}"/>
                </c:ext>
              </c:extLst>
            </c:dLbl>
            <c:dLbl>
              <c:idx val="13"/>
              <c:layout>
                <c:manualLayout>
                  <c:x val="0.22353542456749073"/>
                  <c:y val="8.61526595444758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7C-4AA6-B39F-032433548670}"/>
                </c:ext>
              </c:extLst>
            </c:dLbl>
            <c:dLbl>
              <c:idx val="14"/>
              <c:layout>
                <c:manualLayout>
                  <c:x val="1.3804666907489632E-2"/>
                  <c:y val="0.10564320037757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7C-4AA6-B39F-032433548670}"/>
                </c:ext>
              </c:extLst>
            </c:dLbl>
            <c:dLbl>
              <c:idx val="15"/>
              <c:layout>
                <c:manualLayout>
                  <c:x val="-4.782395195315306E-2"/>
                  <c:y val="0.185704497482797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7C-4AA6-B39F-032433548670}"/>
                </c:ext>
              </c:extLst>
            </c:dLbl>
            <c:dLbl>
              <c:idx val="16"/>
              <c:layout>
                <c:manualLayout>
                  <c:x val="-0.12066985775968965"/>
                  <c:y val="0.197758438139338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7C-4AA6-B39F-032433548670}"/>
                </c:ext>
              </c:extLst>
            </c:dLbl>
            <c:dLbl>
              <c:idx val="17"/>
              <c:layout>
                <c:manualLayout>
                  <c:x val="-0.19617653908711488"/>
                  <c:y val="2.25214281786203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7C-4AA6-B39F-032433548670}"/>
                </c:ext>
              </c:extLst>
            </c:dLbl>
            <c:dLbl>
              <c:idx val="18"/>
              <c:layout>
                <c:manualLayout>
                  <c:x val="-0.10171618447341114"/>
                  <c:y val="4.00175978025021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7C-4AA6-B39F-032433548670}"/>
                </c:ext>
              </c:extLst>
            </c:dLbl>
            <c:dLbl>
              <c:idx val="19"/>
              <c:layout>
                <c:manualLayout>
                  <c:x val="-0.17743311406364595"/>
                  <c:y val="-4.8340355979598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7C-4AA6-B39F-032433548670}"/>
                </c:ext>
              </c:extLst>
            </c:dLbl>
            <c:dLbl>
              <c:idx val="20"/>
              <c:layout>
                <c:manualLayout>
                  <c:x val="-0.21609860001834483"/>
                  <c:y val="-0.18108751356555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7C-4AA6-B39F-0324335486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Roya"/>
                    <a:ea typeface="B Roya"/>
                    <a:cs typeface="B Roy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'41'!$A$22:$A$42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'41'!$C$22:$C$42</c:f>
              <c:numCache>
                <c:formatCode>#,##0</c:formatCode>
                <c:ptCount val="21"/>
                <c:pt idx="0">
                  <c:v>3386791</c:v>
                </c:pt>
                <c:pt idx="1">
                  <c:v>445659</c:v>
                </c:pt>
                <c:pt idx="2">
                  <c:v>1103928</c:v>
                </c:pt>
                <c:pt idx="3">
                  <c:v>1824124</c:v>
                </c:pt>
                <c:pt idx="4">
                  <c:v>240504</c:v>
                </c:pt>
                <c:pt idx="5">
                  <c:v>1283202</c:v>
                </c:pt>
                <c:pt idx="6">
                  <c:v>404291</c:v>
                </c:pt>
                <c:pt idx="7">
                  <c:v>454634</c:v>
                </c:pt>
                <c:pt idx="8">
                  <c:v>2360397</c:v>
                </c:pt>
                <c:pt idx="9">
                  <c:v>173024</c:v>
                </c:pt>
                <c:pt idx="10">
                  <c:v>1008206</c:v>
                </c:pt>
                <c:pt idx="11">
                  <c:v>3087631</c:v>
                </c:pt>
                <c:pt idx="12">
                  <c:v>11074971</c:v>
                </c:pt>
                <c:pt idx="13">
                  <c:v>1449787</c:v>
                </c:pt>
                <c:pt idx="14">
                  <c:v>121014</c:v>
                </c:pt>
                <c:pt idx="15">
                  <c:v>6298599</c:v>
                </c:pt>
                <c:pt idx="16">
                  <c:v>350826</c:v>
                </c:pt>
                <c:pt idx="17">
                  <c:v>176581</c:v>
                </c:pt>
                <c:pt idx="18">
                  <c:v>6761345</c:v>
                </c:pt>
                <c:pt idx="19">
                  <c:v>377485</c:v>
                </c:pt>
                <c:pt idx="20">
                  <c:v>339861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67C-4AA6-B39F-032433548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05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نمودار شماره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 13- </a:t>
            </a: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 تن كيلومتربار مرزي به تفكيك مناطق در سال 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1401</a:t>
            </a:r>
            <a:endParaRPr lang="en-US" sz="1100" b="1" i="0" u="none" strike="noStrike" baseline="0">
              <a:solidFill>
                <a:srgbClr val="003366"/>
              </a:solidFill>
              <a:cs typeface="B Roya"/>
            </a:endParaRPr>
          </a:p>
        </c:rich>
      </c:tx>
      <c:layout>
        <c:manualLayout>
          <c:xMode val="edge"/>
          <c:yMode val="edge"/>
          <c:x val="0.20104683665444345"/>
          <c:y val="1.280082936341421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060083878414481"/>
          <c:y val="0.42105102792750276"/>
          <c:w val="0.39671586480097121"/>
          <c:h val="0.3176724045141045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A1-4520-A03B-FFA759EA8CC9}"/>
              </c:ext>
            </c:extLst>
          </c:dPt>
          <c:dPt>
            <c:idx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A1-4520-A03B-FFA759EA8CC9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A1-4520-A03B-FFA759EA8C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A1-4520-A03B-FFA759EA8CC9}"/>
              </c:ext>
            </c:extLst>
          </c:dPt>
          <c:dPt>
            <c:idx val="4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A1-4520-A03B-FFA759EA8CC9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A1-4520-A03B-FFA759EA8CC9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A1-4520-A03B-FFA759EA8CC9}"/>
              </c:ext>
            </c:extLst>
          </c:dPt>
          <c:dPt>
            <c:idx val="7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A1-4520-A03B-FFA759EA8CC9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4A1-4520-A03B-FFA759EA8CC9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4A1-4520-A03B-FFA759EA8CC9}"/>
              </c:ext>
            </c:extLst>
          </c:dPt>
          <c:dPt>
            <c:idx val="1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4A1-4520-A03B-FFA759EA8CC9}"/>
              </c:ext>
            </c:extLst>
          </c:dPt>
          <c:dPt>
            <c:idx val="1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4A1-4520-A03B-FFA759EA8CC9}"/>
              </c:ext>
            </c:extLst>
          </c:dPt>
          <c:dPt>
            <c:idx val="1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4A1-4520-A03B-FFA759EA8CC9}"/>
              </c:ext>
            </c:extLst>
          </c:dPt>
          <c:dPt>
            <c:idx val="1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4A1-4520-A03B-FFA759EA8C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C-C4A1-4520-A03B-FFA759EA8C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D-C4A1-4520-A03B-FFA759EA8C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E-C4A1-4520-A03B-FFA759EA8CC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F-C4A1-4520-A03B-FFA759EA8CC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0-C4A1-4520-A03B-FFA759EA8CC9}"/>
              </c:ext>
            </c:extLst>
          </c:dPt>
          <c:dLbls>
            <c:dLbl>
              <c:idx val="0"/>
              <c:layout>
                <c:manualLayout>
                  <c:x val="-0.23163028318511134"/>
                  <c:y val="4.62929200096044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1-4520-A03B-FFA759EA8CC9}"/>
                </c:ext>
              </c:extLst>
            </c:dLbl>
            <c:dLbl>
              <c:idx val="1"/>
              <c:layout>
                <c:manualLayout>
                  <c:x val="-0.225818793740234"/>
                  <c:y val="-4.78359290262218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1-4520-A03B-FFA759EA8CC9}"/>
                </c:ext>
              </c:extLst>
            </c:dLbl>
            <c:dLbl>
              <c:idx val="2"/>
              <c:layout>
                <c:manualLayout>
                  <c:x val="-0.19031337771108639"/>
                  <c:y val="-0.1308762429932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1-4520-A03B-FFA759EA8CC9}"/>
                </c:ext>
              </c:extLst>
            </c:dLbl>
            <c:dLbl>
              <c:idx val="3"/>
              <c:layout>
                <c:manualLayout>
                  <c:x val="-0.1583190895793187"/>
                  <c:y val="-0.14566448909974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A1-4520-A03B-FFA759EA8CC9}"/>
                </c:ext>
              </c:extLst>
            </c:dLbl>
            <c:dLbl>
              <c:idx val="4"/>
              <c:layout>
                <c:manualLayout>
                  <c:x val="-9.7887576610980909E-2"/>
                  <c:y val="-0.153957127598797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A1-4520-A03B-FFA759EA8CC9}"/>
                </c:ext>
              </c:extLst>
            </c:dLbl>
            <c:dLbl>
              <c:idx val="5"/>
              <c:layout>
                <c:manualLayout>
                  <c:x val="-1.6507064788570561E-2"/>
                  <c:y val="-0.175396971277643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A1-4520-A03B-FFA759EA8CC9}"/>
                </c:ext>
              </c:extLst>
            </c:dLbl>
            <c:dLbl>
              <c:idx val="6"/>
              <c:layout>
                <c:manualLayout>
                  <c:x val="7.3181893967491349E-2"/>
                  <c:y val="-0.191174478584498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A1-4520-A03B-FFA759EA8CC9}"/>
                </c:ext>
              </c:extLst>
            </c:dLbl>
            <c:dLbl>
              <c:idx val="7"/>
              <c:layout>
                <c:manualLayout>
                  <c:x val="0.14171505006202223"/>
                  <c:y val="-0.170845773615837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A1-4520-A03B-FFA759EA8CC9}"/>
                </c:ext>
              </c:extLst>
            </c:dLbl>
            <c:dLbl>
              <c:idx val="8"/>
              <c:layout>
                <c:manualLayout>
                  <c:x val="0.20743693825171147"/>
                  <c:y val="-0.172995811347855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A1-4520-A03B-FFA759EA8CC9}"/>
                </c:ext>
              </c:extLst>
            </c:dLbl>
            <c:dLbl>
              <c:idx val="9"/>
              <c:layout>
                <c:manualLayout>
                  <c:x val="0.23533122343530624"/>
                  <c:y val="-6.97991828188549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A1-4520-A03B-FFA759EA8CC9}"/>
                </c:ext>
              </c:extLst>
            </c:dLbl>
            <c:dLbl>
              <c:idx val="10"/>
              <c:layout>
                <c:manualLayout>
                  <c:x val="0.27994739527299206"/>
                  <c:y val="3.82397178083495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A1-4520-A03B-FFA759EA8CC9}"/>
                </c:ext>
              </c:extLst>
            </c:dLbl>
            <c:dLbl>
              <c:idx val="11"/>
              <c:layout>
                <c:manualLayout>
                  <c:x val="0.23024066225389214"/>
                  <c:y val="0.110436432769304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A1-4520-A03B-FFA759EA8CC9}"/>
                </c:ext>
              </c:extLst>
            </c:dLbl>
            <c:dLbl>
              <c:idx val="12"/>
              <c:layout>
                <c:manualLayout>
                  <c:x val="0.13409223147357355"/>
                  <c:y val="2.99649767753793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A1-4520-A03B-FFA759EA8CC9}"/>
                </c:ext>
              </c:extLst>
            </c:dLbl>
            <c:dLbl>
              <c:idx val="13"/>
              <c:layout>
                <c:manualLayout>
                  <c:x val="0.11555174356054941"/>
                  <c:y val="5.57996361527158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A1-4520-A03B-FFA759EA8CC9}"/>
                </c:ext>
              </c:extLst>
            </c:dLbl>
            <c:dLbl>
              <c:idx val="14"/>
              <c:layout>
                <c:manualLayout>
                  <c:x val="9.2290449495119348E-3"/>
                  <c:y val="0.104511504995523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A1-4520-A03B-FFA759EA8CC9}"/>
                </c:ext>
              </c:extLst>
            </c:dLbl>
            <c:dLbl>
              <c:idx val="15"/>
              <c:layout>
                <c:manualLayout>
                  <c:x val="5.3268693583948049E-2"/>
                  <c:y val="8.37046609732654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A1-4520-A03B-FFA759EA8CC9}"/>
                </c:ext>
              </c:extLst>
            </c:dLbl>
            <c:dLbl>
              <c:idx val="16"/>
              <c:layout>
                <c:manualLayout>
                  <c:x val="2.6892455506399647E-2"/>
                  <c:y val="0.128393105021071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A1-4520-A03B-FFA759EA8CC9}"/>
                </c:ext>
              </c:extLst>
            </c:dLbl>
            <c:dLbl>
              <c:idx val="17"/>
              <c:layout>
                <c:manualLayout>
                  <c:x val="-3.7204742928544893E-2"/>
                  <c:y val="0.119503109988305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A1-4520-A03B-FFA759EA8CC9}"/>
                </c:ext>
              </c:extLst>
            </c:dLbl>
            <c:dLbl>
              <c:idx val="18"/>
              <c:layout>
                <c:manualLayout>
                  <c:x val="-7.4819414358563624E-2"/>
                  <c:y val="0.168412487994115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A1-4520-A03B-FFA759EA8CC9}"/>
                </c:ext>
              </c:extLst>
            </c:dLbl>
            <c:dLbl>
              <c:idx val="19"/>
              <c:layout>
                <c:manualLayout>
                  <c:x val="-0.13632994736512014"/>
                  <c:y val="0.2809107914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A1-4520-A03B-FFA759EA8CC9}"/>
                </c:ext>
              </c:extLst>
            </c:dLbl>
            <c:dLbl>
              <c:idx val="20"/>
              <c:layout>
                <c:manualLayout>
                  <c:x val="-0.17664541290157615"/>
                  <c:y val="0.132752885490851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A1-4520-A03B-FFA759EA8C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Roya"/>
                    <a:ea typeface="B Roya"/>
                    <a:cs typeface="B Roy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'49'!$A$22:$A$42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شمالشرق1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كرمان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'49'!$C$22:$C$42</c:f>
              <c:numCache>
                <c:formatCode>#,##0</c:formatCode>
                <c:ptCount val="21"/>
                <c:pt idx="0">
                  <c:v>1128199.4189999998</c:v>
                </c:pt>
                <c:pt idx="1">
                  <c:v>763738.98599999992</c:v>
                </c:pt>
                <c:pt idx="2">
                  <c:v>896889.38900000008</c:v>
                </c:pt>
                <c:pt idx="3">
                  <c:v>820218.076</c:v>
                </c:pt>
                <c:pt idx="4">
                  <c:v>248452.54600000003</c:v>
                </c:pt>
                <c:pt idx="5">
                  <c:v>353847.23099999997</c:v>
                </c:pt>
                <c:pt idx="6">
                  <c:v>958538.26099999982</c:v>
                </c:pt>
                <c:pt idx="7">
                  <c:v>73563.218999999997</c:v>
                </c:pt>
                <c:pt idx="8">
                  <c:v>889929.41599999997</c:v>
                </c:pt>
                <c:pt idx="9">
                  <c:v>357591.32199999999</c:v>
                </c:pt>
                <c:pt idx="10">
                  <c:v>477670.29300000006</c:v>
                </c:pt>
                <c:pt idx="11">
                  <c:v>4050388.2340000002</c:v>
                </c:pt>
                <c:pt idx="12">
                  <c:v>5052840.4720000001</c:v>
                </c:pt>
                <c:pt idx="13">
                  <c:v>730362.96399999992</c:v>
                </c:pt>
                <c:pt idx="14">
                  <c:v>175088.10500000004</c:v>
                </c:pt>
                <c:pt idx="15">
                  <c:v>5575257.8959999988</c:v>
                </c:pt>
                <c:pt idx="16">
                  <c:v>855634.98399999994</c:v>
                </c:pt>
                <c:pt idx="17">
                  <c:v>853616.59799999988</c:v>
                </c:pt>
                <c:pt idx="18">
                  <c:v>4469103.5850000009</c:v>
                </c:pt>
                <c:pt idx="19">
                  <c:v>68800.145000000004</c:v>
                </c:pt>
                <c:pt idx="20">
                  <c:v>56145.78300000001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4A1-4520-A03B-FFA759EA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05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نمودار شماره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 14</a:t>
            </a: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  -تعداد واگن بارگیری شده به تفکیک مناطق در سال 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1401</a:t>
            </a:r>
            <a:endParaRPr lang="en-US" sz="1100" b="1" i="0" u="none" strike="noStrike" baseline="0">
              <a:solidFill>
                <a:srgbClr val="003366"/>
              </a:solidFill>
              <a:cs typeface="B Roya"/>
            </a:endParaRPr>
          </a:p>
        </c:rich>
      </c:tx>
      <c:layout>
        <c:manualLayout>
          <c:xMode val="edge"/>
          <c:yMode val="edge"/>
          <c:x val="0.17741067303066246"/>
          <c:y val="2.042487407520661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3575735494101"/>
          <c:y val="0.46278317816136177"/>
          <c:w val="0.40684140513769651"/>
          <c:h val="0.34260979592534641"/>
        </c:manualLayout>
      </c:layout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EF-402D-AB89-97ADBECC839C}"/>
              </c:ext>
            </c:extLst>
          </c:dPt>
          <c:dPt>
            <c:idx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EF-402D-AB89-97ADBECC839C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EF-402D-AB89-97ADBECC839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EF-402D-AB89-97ADBECC83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D0EF-402D-AB89-97ADBECC839C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0EF-402D-AB89-97ADBECC839C}"/>
              </c:ext>
            </c:extLst>
          </c:dPt>
          <c:dPt>
            <c:idx val="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0EF-402D-AB89-97ADBECC839C}"/>
              </c:ext>
            </c:extLst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0EF-402D-AB89-97ADBECC839C}"/>
              </c:ext>
            </c:extLst>
          </c:dPt>
          <c:dPt>
            <c:idx val="8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0EF-402D-AB89-97ADBECC839C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0EF-402D-AB89-97ADBECC839C}"/>
              </c:ext>
            </c:extLst>
          </c:dPt>
          <c:dPt>
            <c:idx val="1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0EF-402D-AB89-97ADBECC839C}"/>
              </c:ext>
            </c:extLst>
          </c:dPt>
          <c:dPt>
            <c:idx val="1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0EF-402D-AB89-97ADBECC83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7-D0EF-402D-AB89-97ADBECC839C}"/>
              </c:ext>
            </c:extLst>
          </c:dPt>
          <c:dPt>
            <c:idx val="1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0EF-402D-AB89-97ADBECC83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A-D0EF-402D-AB89-97ADBECC83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B-D0EF-402D-AB89-97ADBECC83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C-D0EF-402D-AB89-97ADBECC839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D-D0EF-402D-AB89-97ADBECC839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E-D0EF-402D-AB89-97ADBECC839C}"/>
              </c:ext>
            </c:extLst>
          </c:dPt>
          <c:dLbls>
            <c:dLbl>
              <c:idx val="0"/>
              <c:layout>
                <c:manualLayout>
                  <c:x val="-5.5983478359536119E-2"/>
                  <c:y val="-0.211903528345601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F-402D-AB89-97ADBECC839C}"/>
                </c:ext>
              </c:extLst>
            </c:dLbl>
            <c:dLbl>
              <c:idx val="1"/>
              <c:layout>
                <c:manualLayout>
                  <c:x val="-3.8672035409762537E-2"/>
                  <c:y val="-0.236191247112861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F-402D-AB89-97ADBECC839C}"/>
                </c:ext>
              </c:extLst>
            </c:dLbl>
            <c:dLbl>
              <c:idx val="2"/>
              <c:layout>
                <c:manualLayout>
                  <c:x val="1.969129118650079E-2"/>
                  <c:y val="-0.18562432138979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F-402D-AB89-97ADBECC839C}"/>
                </c:ext>
              </c:extLst>
            </c:dLbl>
            <c:dLbl>
              <c:idx val="3"/>
              <c:layout>
                <c:manualLayout>
                  <c:x val="2.7911251327790331E-2"/>
                  <c:y val="-0.243235624343126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EF-402D-AB89-97ADBECC839C}"/>
                </c:ext>
              </c:extLst>
            </c:dLbl>
            <c:dLbl>
              <c:idx val="4"/>
              <c:layout>
                <c:manualLayout>
                  <c:x val="-9.6657832409751928E-4"/>
                  <c:y val="-0.137986776610845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EF-402D-AB89-97ADBECC839C}"/>
                </c:ext>
              </c:extLst>
            </c:dLbl>
            <c:dLbl>
              <c:idx val="5"/>
              <c:layout>
                <c:manualLayout>
                  <c:x val="5.75120732318984E-2"/>
                  <c:y val="-0.204677872250274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EF-402D-AB89-97ADBECC839C}"/>
                </c:ext>
              </c:extLst>
            </c:dLbl>
            <c:dLbl>
              <c:idx val="6"/>
              <c:layout>
                <c:manualLayout>
                  <c:x val="0.10523675960062483"/>
                  <c:y val="-0.169101627977108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EF-402D-AB89-97ADBECC839C}"/>
                </c:ext>
              </c:extLst>
            </c:dLbl>
            <c:dLbl>
              <c:idx val="7"/>
              <c:layout>
                <c:manualLayout>
                  <c:x val="0.22878812330380002"/>
                  <c:y val="-0.156476541630350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EF-402D-AB89-97ADBECC839C}"/>
                </c:ext>
              </c:extLst>
            </c:dLbl>
            <c:dLbl>
              <c:idx val="8"/>
              <c:layout>
                <c:manualLayout>
                  <c:x val="0.24169761687206692"/>
                  <c:y val="-3.25274532657879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EF-402D-AB89-97ADBECC839C}"/>
                </c:ext>
              </c:extLst>
            </c:dLbl>
            <c:dLbl>
              <c:idx val="9"/>
              <c:layout>
                <c:manualLayout>
                  <c:x val="0.20847627150171205"/>
                  <c:y val="7.0412242982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EF-402D-AB89-97ADBECC839C}"/>
                </c:ext>
              </c:extLst>
            </c:dLbl>
            <c:dLbl>
              <c:idx val="10"/>
              <c:layout>
                <c:manualLayout>
                  <c:x val="0.2507537817839427"/>
                  <c:y val="0.168906637354964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EF-402D-AB89-97ADBECC839C}"/>
                </c:ext>
              </c:extLst>
            </c:dLbl>
            <c:dLbl>
              <c:idx val="11"/>
              <c:layout>
                <c:manualLayout>
                  <c:x val="0.16092847213116532"/>
                  <c:y val="0.247699133622204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EF-402D-AB89-97ADBECC839C}"/>
                </c:ext>
              </c:extLst>
            </c:dLbl>
            <c:dLbl>
              <c:idx val="12"/>
              <c:layout>
                <c:manualLayout>
                  <c:x val="9.0779123601173198E-2"/>
                  <c:y val="7.45328169483700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EF-402D-AB89-97ADBECC839C}"/>
                </c:ext>
              </c:extLst>
            </c:dLbl>
            <c:dLbl>
              <c:idx val="13"/>
              <c:layout>
                <c:manualLayout>
                  <c:x val="6.0688920508356177E-2"/>
                  <c:y val="6.74926281779229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EF-402D-AB89-97ADBECC839C}"/>
                </c:ext>
              </c:extLst>
            </c:dLbl>
            <c:dLbl>
              <c:idx val="14"/>
              <c:layout>
                <c:manualLayout>
                  <c:x val="-5.8206814340422047E-2"/>
                  <c:y val="6.11495550026930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EF-402D-AB89-97ADBECC839C}"/>
                </c:ext>
              </c:extLst>
            </c:dLbl>
            <c:dLbl>
              <c:idx val="15"/>
              <c:layout>
                <c:manualLayout>
                  <c:x val="-0.10114449156061726"/>
                  <c:y val="2.2485316371284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EF-402D-AB89-97ADBECC839C}"/>
                </c:ext>
              </c:extLst>
            </c:dLbl>
            <c:dLbl>
              <c:idx val="16"/>
              <c:layout>
                <c:manualLayout>
                  <c:x val="-0.15652431845147446"/>
                  <c:y val="-9.6508244088223092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EF-402D-AB89-97ADBECC839C}"/>
                </c:ext>
              </c:extLst>
            </c:dLbl>
            <c:dLbl>
              <c:idx val="17"/>
              <c:layout>
                <c:manualLayout>
                  <c:x val="-0.13495412934180509"/>
                  <c:y val="-0.176904769205729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EF-402D-AB89-97ADBECC839C}"/>
                </c:ext>
              </c:extLst>
            </c:dLbl>
            <c:dLbl>
              <c:idx val="18"/>
              <c:layout>
                <c:manualLayout>
                  <c:x val="-7.6178621801578791E-2"/>
                  <c:y val="-0.16089837304538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EF-402D-AB89-97ADBECC839C}"/>
                </c:ext>
              </c:extLst>
            </c:dLbl>
            <c:dLbl>
              <c:idx val="19"/>
              <c:layout>
                <c:manualLayout>
                  <c:x val="-0.10565479572864438"/>
                  <c:y val="-0.237460825737804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EF-402D-AB89-97ADBECC83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Roya"/>
                    <a:ea typeface="B Roya"/>
                    <a:cs typeface="B Roy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'39'!$A$21:$A$41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'39'!$C$21:$C$41</c:f>
              <c:numCache>
                <c:formatCode>#,##0</c:formatCode>
                <c:ptCount val="21"/>
                <c:pt idx="0">
                  <c:v>66324</c:v>
                </c:pt>
                <c:pt idx="1">
                  <c:v>7826</c:v>
                </c:pt>
                <c:pt idx="2">
                  <c:v>19510</c:v>
                </c:pt>
                <c:pt idx="3">
                  <c:v>34624</c:v>
                </c:pt>
                <c:pt idx="4">
                  <c:v>4205</c:v>
                </c:pt>
                <c:pt idx="5">
                  <c:v>22334</c:v>
                </c:pt>
                <c:pt idx="6">
                  <c:v>6952</c:v>
                </c:pt>
                <c:pt idx="7">
                  <c:v>7395</c:v>
                </c:pt>
                <c:pt idx="8">
                  <c:v>42842</c:v>
                </c:pt>
                <c:pt idx="9">
                  <c:v>2767</c:v>
                </c:pt>
                <c:pt idx="10">
                  <c:v>23947</c:v>
                </c:pt>
                <c:pt idx="11">
                  <c:v>49602</c:v>
                </c:pt>
                <c:pt idx="12">
                  <c:v>150203</c:v>
                </c:pt>
                <c:pt idx="13">
                  <c:v>22839</c:v>
                </c:pt>
                <c:pt idx="14">
                  <c:v>2893</c:v>
                </c:pt>
                <c:pt idx="15">
                  <c:v>105545</c:v>
                </c:pt>
                <c:pt idx="16">
                  <c:v>5488</c:v>
                </c:pt>
                <c:pt idx="17">
                  <c:v>2834</c:v>
                </c:pt>
                <c:pt idx="18">
                  <c:v>88696</c:v>
                </c:pt>
                <c:pt idx="19">
                  <c:v>5672</c:v>
                </c:pt>
                <c:pt idx="20">
                  <c:v>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0EF-402D-AB89-97ADBECC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100" b="1" i="0" u="none" strike="noStrike" baseline="0">
                <a:solidFill>
                  <a:srgbClr val="333399"/>
                </a:solidFill>
                <a:cs typeface="B Nazanin"/>
              </a:rPr>
              <a:t>نمودار شماره15-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تعداد مسافر ادارات كل مناطق در سالها</a:t>
            </a:r>
            <a:r>
              <a:rPr lang="fa-IR" sz="1100" b="1" i="0" u="none" strike="noStrike" baseline="0">
                <a:solidFill>
                  <a:srgbClr val="333399"/>
                </a:solidFill>
                <a:cs typeface="B Nazanin"/>
              </a:rPr>
              <a:t>ی1402-1401</a:t>
            </a:r>
            <a:endParaRPr lang="en-US" sz="1100" b="1" i="0" u="none" strike="noStrike" baseline="0">
              <a:solidFill>
                <a:srgbClr val="3333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2062056384369384"/>
          <c:y val="2.9240339383879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4661654135333E-2"/>
          <c:y val="0.13880126182965299"/>
          <c:w val="0.87969924812030076"/>
          <c:h val="0.72239747634069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'65'!$B$20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'65'!$B$21:$B$41</c:f>
              <c:numCache>
                <c:formatCode>#,##0</c:formatCode>
                <c:ptCount val="21"/>
                <c:pt idx="0">
                  <c:v>1431218</c:v>
                </c:pt>
                <c:pt idx="1">
                  <c:v>245007</c:v>
                </c:pt>
                <c:pt idx="2">
                  <c:v>421430</c:v>
                </c:pt>
                <c:pt idx="3">
                  <c:v>10088372</c:v>
                </c:pt>
                <c:pt idx="4">
                  <c:v>706099</c:v>
                </c:pt>
                <c:pt idx="5">
                  <c:v>823074</c:v>
                </c:pt>
                <c:pt idx="6">
                  <c:v>416781</c:v>
                </c:pt>
                <c:pt idx="7">
                  <c:v>415060</c:v>
                </c:pt>
                <c:pt idx="8">
                  <c:v>8054540</c:v>
                </c:pt>
                <c:pt idx="9">
                  <c:v>733427</c:v>
                </c:pt>
                <c:pt idx="10">
                  <c:v>1341644</c:v>
                </c:pt>
                <c:pt idx="11">
                  <c:v>832828</c:v>
                </c:pt>
                <c:pt idx="12">
                  <c:v>489355</c:v>
                </c:pt>
                <c:pt idx="13">
                  <c:v>520789</c:v>
                </c:pt>
                <c:pt idx="14">
                  <c:v>109247</c:v>
                </c:pt>
                <c:pt idx="15">
                  <c:v>576653</c:v>
                </c:pt>
                <c:pt idx="16">
                  <c:v>188235</c:v>
                </c:pt>
                <c:pt idx="17">
                  <c:v>293257</c:v>
                </c:pt>
                <c:pt idx="18">
                  <c:v>1347828</c:v>
                </c:pt>
                <c:pt idx="19">
                  <c:v>245098</c:v>
                </c:pt>
                <c:pt idx="20">
                  <c:v>385915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6-4A10-B9DF-3431DA65F847}"/>
            </c:ext>
          </c:extLst>
        </c:ser>
        <c:ser>
          <c:idx val="1"/>
          <c:order val="1"/>
          <c:tx>
            <c:strRef>
              <c:f>'65'!$C$20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'65'!$C$21:$C$41</c:f>
              <c:numCache>
                <c:formatCode>#,##0</c:formatCode>
                <c:ptCount val="21"/>
                <c:pt idx="0">
                  <c:v>1535840</c:v>
                </c:pt>
                <c:pt idx="1">
                  <c:v>268122</c:v>
                </c:pt>
                <c:pt idx="2">
                  <c:v>474367</c:v>
                </c:pt>
                <c:pt idx="3">
                  <c:v>10887078</c:v>
                </c:pt>
                <c:pt idx="4">
                  <c:v>828548</c:v>
                </c:pt>
                <c:pt idx="5">
                  <c:v>967170</c:v>
                </c:pt>
                <c:pt idx="6">
                  <c:v>433968</c:v>
                </c:pt>
                <c:pt idx="7">
                  <c:v>414134</c:v>
                </c:pt>
                <c:pt idx="8">
                  <c:v>8418329</c:v>
                </c:pt>
                <c:pt idx="9">
                  <c:v>841540</c:v>
                </c:pt>
                <c:pt idx="10">
                  <c:v>1365142</c:v>
                </c:pt>
                <c:pt idx="11">
                  <c:v>858972</c:v>
                </c:pt>
                <c:pt idx="12">
                  <c:v>490320</c:v>
                </c:pt>
                <c:pt idx="13">
                  <c:v>570498</c:v>
                </c:pt>
                <c:pt idx="14">
                  <c:v>209272</c:v>
                </c:pt>
                <c:pt idx="15">
                  <c:v>531122</c:v>
                </c:pt>
                <c:pt idx="16">
                  <c:v>202540</c:v>
                </c:pt>
                <c:pt idx="17">
                  <c:v>282085</c:v>
                </c:pt>
                <c:pt idx="18">
                  <c:v>1540645</c:v>
                </c:pt>
                <c:pt idx="19">
                  <c:v>280909</c:v>
                </c:pt>
                <c:pt idx="20">
                  <c:v>383526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6-4A10-B9DF-3431DA65F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278128"/>
        <c:axId val="241286288"/>
      </c:barChart>
      <c:catAx>
        <c:axId val="24127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2412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862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2412781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796992481203006E-3"/>
                <c:y val="0.18275035809798224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333399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ميليون نفر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60306277504782"/>
          <c:y val="0.27955230821372556"/>
          <c:w val="0.1084569691946401"/>
          <c:h val="0.157734112064820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B Mitra"/>
              <a:ea typeface="B Mitra"/>
              <a:cs typeface="B Mitr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u="none" strike="noStrike" baseline="0">
                <a:solidFill>
                  <a:srgbClr val="000080"/>
                </a:solidFill>
                <a:cs typeface="B Nazanin"/>
              </a:rPr>
              <a:t>نمودار شماره16-</a:t>
            </a:r>
            <a:r>
              <a:rPr lang="en-US" sz="1200" b="1" i="0" u="none" strike="noStrike" baseline="0">
                <a:solidFill>
                  <a:srgbClr val="000080"/>
                </a:solidFill>
                <a:cs typeface="B Nazanin"/>
              </a:rPr>
              <a:t>نفركيلومترمسافر مناطق درسالهاي </a:t>
            </a:r>
            <a:r>
              <a:rPr lang="fa-IR" sz="1200" b="1" i="0" u="none" strike="noStrike" baseline="0">
                <a:solidFill>
                  <a:srgbClr val="000080"/>
                </a:solidFill>
                <a:cs typeface="B Nazanin"/>
              </a:rPr>
              <a:t>1402-1401</a:t>
            </a:r>
            <a:endParaRPr lang="en-US" sz="1200" b="1" i="0" u="none" strike="noStrike" baseline="0">
              <a:solidFill>
                <a:srgbClr val="000080"/>
              </a:solidFill>
              <a:cs typeface="B Roya"/>
            </a:endParaRPr>
          </a:p>
        </c:rich>
      </c:tx>
      <c:layout>
        <c:manualLayout>
          <c:xMode val="edge"/>
          <c:yMode val="edge"/>
          <c:x val="0.17371867842362401"/>
          <c:y val="2.8366845448666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6160550394714E-2"/>
          <c:y val="0.13749903001255279"/>
          <c:w val="0.88827451822678449"/>
          <c:h val="0.69379040663395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'67'!$B$19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'67'!$A$20:$A$40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'67'!$B$20:$B$40</c:f>
              <c:numCache>
                <c:formatCode>#,##0</c:formatCode>
                <c:ptCount val="21"/>
                <c:pt idx="0">
                  <c:v>694752.07499999995</c:v>
                </c:pt>
                <c:pt idx="1">
                  <c:v>53646.832000000002</c:v>
                </c:pt>
                <c:pt idx="2">
                  <c:v>277882.549</c:v>
                </c:pt>
                <c:pt idx="3">
                  <c:v>4474304.8559999997</c:v>
                </c:pt>
                <c:pt idx="4">
                  <c:v>179078.31899999999</c:v>
                </c:pt>
                <c:pt idx="5">
                  <c:v>326872.261</c:v>
                </c:pt>
                <c:pt idx="6">
                  <c:v>171217.93799999999</c:v>
                </c:pt>
                <c:pt idx="7">
                  <c:v>66237.42</c:v>
                </c:pt>
                <c:pt idx="8">
                  <c:v>5617187.7019999996</c:v>
                </c:pt>
                <c:pt idx="9">
                  <c:v>305823.016</c:v>
                </c:pt>
                <c:pt idx="10">
                  <c:v>698110.05500000005</c:v>
                </c:pt>
                <c:pt idx="11">
                  <c:v>591227.125</c:v>
                </c:pt>
                <c:pt idx="12">
                  <c:v>269783.84000000003</c:v>
                </c:pt>
                <c:pt idx="13">
                  <c:v>363123.935</c:v>
                </c:pt>
                <c:pt idx="14">
                  <c:v>145265.33600000001</c:v>
                </c:pt>
                <c:pt idx="15">
                  <c:v>557684.24100000004</c:v>
                </c:pt>
                <c:pt idx="16">
                  <c:v>90286.516000000003</c:v>
                </c:pt>
                <c:pt idx="17">
                  <c:v>288320.73100000003</c:v>
                </c:pt>
                <c:pt idx="18">
                  <c:v>519085.16899999999</c:v>
                </c:pt>
                <c:pt idx="19">
                  <c:v>142799.49600000001</c:v>
                </c:pt>
                <c:pt idx="20">
                  <c:v>73328.795000000013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0-4052-BCBF-EAC7AC74D4F6}"/>
            </c:ext>
          </c:extLst>
        </c:ser>
        <c:ser>
          <c:idx val="1"/>
          <c:order val="1"/>
          <c:tx>
            <c:strRef>
              <c:f>'67'!$C$19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'67'!$A$20:$A$40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'67'!$C$20:$C$40</c:f>
              <c:numCache>
                <c:formatCode>#,##0</c:formatCode>
                <c:ptCount val="21"/>
                <c:pt idx="0">
                  <c:v>686215.53700000001</c:v>
                </c:pt>
                <c:pt idx="1">
                  <c:v>61746.014000000003</c:v>
                </c:pt>
                <c:pt idx="2">
                  <c:v>309851.34100000001</c:v>
                </c:pt>
                <c:pt idx="3">
                  <c:v>4559873.1809999999</c:v>
                </c:pt>
                <c:pt idx="4">
                  <c:v>195111.68400000001</c:v>
                </c:pt>
                <c:pt idx="5">
                  <c:v>366088.99400000001</c:v>
                </c:pt>
                <c:pt idx="6">
                  <c:v>189572.28200000001</c:v>
                </c:pt>
                <c:pt idx="7">
                  <c:v>65779.608999999997</c:v>
                </c:pt>
                <c:pt idx="8">
                  <c:v>5878910.2199999997</c:v>
                </c:pt>
                <c:pt idx="9">
                  <c:v>362375.53600000002</c:v>
                </c:pt>
                <c:pt idx="10">
                  <c:v>663743.43799999997</c:v>
                </c:pt>
                <c:pt idx="11">
                  <c:v>608302.22400000005</c:v>
                </c:pt>
                <c:pt idx="12">
                  <c:v>264565.36099999998</c:v>
                </c:pt>
                <c:pt idx="13">
                  <c:v>392752.30900000001</c:v>
                </c:pt>
                <c:pt idx="14">
                  <c:v>203753.356</c:v>
                </c:pt>
                <c:pt idx="15">
                  <c:v>542584.799</c:v>
                </c:pt>
                <c:pt idx="16">
                  <c:v>102189.97900000001</c:v>
                </c:pt>
                <c:pt idx="17">
                  <c:v>273307.79499999998</c:v>
                </c:pt>
                <c:pt idx="18">
                  <c:v>628874.53599999996</c:v>
                </c:pt>
                <c:pt idx="19">
                  <c:v>161454.36499999999</c:v>
                </c:pt>
                <c:pt idx="20">
                  <c:v>77015.832999999999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0-4052-BCBF-EAC7AC74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278672"/>
        <c:axId val="241281392"/>
      </c:barChart>
      <c:catAx>
        <c:axId val="24127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24128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8139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24127867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116276995010863E-3"/>
                <c:y val="0.15286148720873471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ميلياردنفركيلومتر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35328870408054"/>
          <c:y val="0.29394986496253184"/>
          <c:w val="0.11798126357800776"/>
          <c:h val="0.148202518163490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B Roya"/>
              <a:ea typeface="B Roya"/>
              <a:cs typeface="B Roy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99"/>
                </a:solidFill>
                <a:latin typeface="B Nazanin"/>
                <a:ea typeface="B Nazanin"/>
                <a:cs typeface="B Nazanin"/>
              </a:defRPr>
            </a:pPr>
            <a:r>
              <a:rPr lang="fa-IR"/>
              <a:t>نمودار شماره 17- تعداد مسافر مناطق در سال </a:t>
            </a:r>
            <a:r>
              <a:rPr lang="en-US"/>
              <a:t>1402</a:t>
            </a:r>
            <a:endParaRPr lang="fa-IR"/>
          </a:p>
        </c:rich>
      </c:tx>
      <c:layout>
        <c:manualLayout>
          <c:xMode val="edge"/>
          <c:yMode val="edge"/>
          <c:x val="0.25473084076410979"/>
          <c:y val="1.80292675679691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00184125508304"/>
          <c:y val="0.39972371874568302"/>
          <c:w val="0.55526572836655874"/>
          <c:h val="0.45839781988973866"/>
        </c:manualLayout>
      </c:layout>
      <c:pie3DChart>
        <c:varyColors val="1"/>
        <c:ser>
          <c:idx val="0"/>
          <c:order val="0"/>
          <c:tx>
            <c:strRef>
              <c:f>'65'!$C$20</c:f>
              <c:strCache>
                <c:ptCount val="1"/>
                <c:pt idx="0">
                  <c:v>1402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sx="1000" sy="1000" algn="ctr" rotWithShape="0">
                <a:srgbClr val="000000"/>
              </a:outerShdw>
            </a:effectLst>
          </c:spPr>
          <c:explosion val="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C5-4C8B-95FF-C02D899DAA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2C5-4C8B-95FF-C02D899DAA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2C5-4C8B-95FF-C02D899DAA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2C5-4C8B-95FF-C02D899DAAA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2C5-4C8B-95FF-C02D899DAAA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2C5-4C8B-95FF-C02D899DAAA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2C5-4C8B-95FF-C02D899DAAA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2C5-4C8B-95FF-C02D899DAAA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2C5-4C8B-95FF-C02D899DAAA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2C5-4C8B-95FF-C02D899DAAA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2C5-4C8B-95FF-C02D899DAAA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32C5-4C8B-95FF-C02D899DAAA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32C5-4C8B-95FF-C02D899DAAA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32C5-4C8B-95FF-C02D899DAA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B-32C5-4C8B-95FF-C02D899DAA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C-32C5-4C8B-95FF-C02D899DAA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D-32C5-4C8B-95FF-C02D899DAAA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E-32C5-4C8B-95FF-C02D899DAAA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F-32C5-4C8B-95FF-C02D899DAAA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0-32C5-4C8B-95FF-C02D899DAAA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1-32C5-4C8B-95FF-C02D899DAAAA}"/>
              </c:ext>
            </c:extLst>
          </c:dPt>
          <c:dLbls>
            <c:dLbl>
              <c:idx val="0"/>
              <c:layout>
                <c:manualLayout>
                  <c:x val="0.20857523361474609"/>
                  <c:y val="-0.123653211768678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C5-4C8B-95FF-C02D899DAAAA}"/>
                </c:ext>
              </c:extLst>
            </c:dLbl>
            <c:dLbl>
              <c:idx val="1"/>
              <c:layout>
                <c:manualLayout>
                  <c:x val="0.19928553326451301"/>
                  <c:y val="-4.6820112070616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5-4C8B-95FF-C02D899DAAAA}"/>
                </c:ext>
              </c:extLst>
            </c:dLbl>
            <c:dLbl>
              <c:idx val="2"/>
              <c:layout>
                <c:manualLayout>
                  <c:x val="0.20409079626424831"/>
                  <c:y val="4.77785162397362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C5-4C8B-95FF-C02D899DAAAA}"/>
                </c:ext>
              </c:extLst>
            </c:dLbl>
            <c:dLbl>
              <c:idx val="3"/>
              <c:layout>
                <c:manualLayout>
                  <c:x val="9.0485686955110986E-2"/>
                  <c:y val="-2.3646251014697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5-4C8B-95FF-C02D899DAAAA}"/>
                </c:ext>
              </c:extLst>
            </c:dLbl>
            <c:dLbl>
              <c:idx val="4"/>
              <c:layout>
                <c:manualLayout>
                  <c:x val="0.15074549840968099"/>
                  <c:y val="-1.1327945891408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C5-4C8B-95FF-C02D899DAAAA}"/>
                </c:ext>
              </c:extLst>
            </c:dLbl>
            <c:dLbl>
              <c:idx val="5"/>
              <c:layout>
                <c:manualLayout>
                  <c:x val="1.2166709136548144E-2"/>
                  <c:y val="4.26008052180388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5-4C8B-95FF-C02D899DAAAA}"/>
                </c:ext>
              </c:extLst>
            </c:dLbl>
            <c:dLbl>
              <c:idx val="6"/>
              <c:layout>
                <c:manualLayout>
                  <c:x val="-0.10691397512706667"/>
                  <c:y val="3.29654867982240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C5-4C8B-95FF-C02D899DAAAA}"/>
                </c:ext>
              </c:extLst>
            </c:dLbl>
            <c:dLbl>
              <c:idx val="7"/>
              <c:layout>
                <c:manualLayout>
                  <c:x val="-0.19875371538822539"/>
                  <c:y val="2.23525479126429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C5-4C8B-95FF-C02D899DAAAA}"/>
                </c:ext>
              </c:extLst>
            </c:dLbl>
            <c:dLbl>
              <c:idx val="8"/>
              <c:layout>
                <c:manualLayout>
                  <c:x val="-0.12429942118162382"/>
                  <c:y val="5.66220967662059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C5-4C8B-95FF-C02D899DAAAA}"/>
                </c:ext>
              </c:extLst>
            </c:dLbl>
            <c:dLbl>
              <c:idx val="9"/>
              <c:layout>
                <c:manualLayout>
                  <c:x val="-0.11195095519019298"/>
                  <c:y val="4.733733820272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C5-4C8B-95FF-C02D899DAAAA}"/>
                </c:ext>
              </c:extLst>
            </c:dLbl>
            <c:dLbl>
              <c:idx val="10"/>
              <c:layout>
                <c:manualLayout>
                  <c:x val="-0.14681638298696495"/>
                  <c:y val="-2.0577821848791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C5-4C8B-95FF-C02D899DAAAA}"/>
                </c:ext>
              </c:extLst>
            </c:dLbl>
            <c:dLbl>
              <c:idx val="11"/>
              <c:layout>
                <c:manualLayout>
                  <c:x val="-0.14027932154494485"/>
                  <c:y val="-0.122109707923294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C5-4C8B-95FF-C02D899DAAAA}"/>
                </c:ext>
              </c:extLst>
            </c:dLbl>
            <c:dLbl>
              <c:idx val="12"/>
              <c:layout>
                <c:manualLayout>
                  <c:x val="-8.6995687526587137E-2"/>
                  <c:y val="-0.157443089643364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C5-4C8B-95FF-C02D899DAAAA}"/>
                </c:ext>
              </c:extLst>
            </c:dLbl>
            <c:dLbl>
              <c:idx val="13"/>
              <c:layout>
                <c:manualLayout>
                  <c:x val="-3.4022457100642847E-2"/>
                  <c:y val="-0.191773726448313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B Mitra"/>
                      <a:ea typeface="B Mitra"/>
                      <a:cs typeface="B Mitr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C5-4C8B-95FF-C02D899DAAAA}"/>
                </c:ext>
              </c:extLst>
            </c:dLbl>
            <c:dLbl>
              <c:idx val="14"/>
              <c:layout>
                <c:manualLayout>
                  <c:x val="2.6265841309246571E-2"/>
                  <c:y val="-0.222339858689262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C5-4C8B-95FF-C02D899DAAAA}"/>
                </c:ext>
              </c:extLst>
            </c:dLbl>
            <c:dLbl>
              <c:idx val="15"/>
              <c:layout>
                <c:manualLayout>
                  <c:x val="8.2345018369743658E-2"/>
                  <c:y val="-0.223426083109420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C5-4C8B-95FF-C02D899DAAAA}"/>
                </c:ext>
              </c:extLst>
            </c:dLbl>
            <c:dLbl>
              <c:idx val="16"/>
              <c:layout>
                <c:manualLayout>
                  <c:x val="0.1419440714216606"/>
                  <c:y val="-0.216475733102398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C5-4C8B-95FF-C02D899DAAAA}"/>
                </c:ext>
              </c:extLst>
            </c:dLbl>
            <c:dLbl>
              <c:idx val="17"/>
              <c:layout>
                <c:manualLayout>
                  <c:x val="0.18480981743856745"/>
                  <c:y val="-0.190178945874316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C5-4C8B-95FF-C02D899DAAAA}"/>
                </c:ext>
              </c:extLst>
            </c:dLbl>
            <c:dLbl>
              <c:idx val="18"/>
              <c:layout>
                <c:manualLayout>
                  <c:x val="0.21099236914369437"/>
                  <c:y val="-0.150845979322349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C5-4C8B-95FF-C02D899DAA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B Mitra"/>
                    <a:ea typeface="B Mitra"/>
                    <a:cs typeface="B Mitr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'65'!$A$21:$A$41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'65'!$C$21:$C$41</c:f>
              <c:numCache>
                <c:formatCode>#,##0</c:formatCode>
                <c:ptCount val="21"/>
                <c:pt idx="0">
                  <c:v>1535840</c:v>
                </c:pt>
                <c:pt idx="1">
                  <c:v>268122</c:v>
                </c:pt>
                <c:pt idx="2">
                  <c:v>474367</c:v>
                </c:pt>
                <c:pt idx="3">
                  <c:v>10887078</c:v>
                </c:pt>
                <c:pt idx="4">
                  <c:v>828548</c:v>
                </c:pt>
                <c:pt idx="5">
                  <c:v>967170</c:v>
                </c:pt>
                <c:pt idx="6">
                  <c:v>433968</c:v>
                </c:pt>
                <c:pt idx="7">
                  <c:v>414134</c:v>
                </c:pt>
                <c:pt idx="8">
                  <c:v>8418329</c:v>
                </c:pt>
                <c:pt idx="9">
                  <c:v>841540</c:v>
                </c:pt>
                <c:pt idx="10">
                  <c:v>1365142</c:v>
                </c:pt>
                <c:pt idx="11">
                  <c:v>858972</c:v>
                </c:pt>
                <c:pt idx="12">
                  <c:v>490320</c:v>
                </c:pt>
                <c:pt idx="13">
                  <c:v>570498</c:v>
                </c:pt>
                <c:pt idx="14">
                  <c:v>209272</c:v>
                </c:pt>
                <c:pt idx="15">
                  <c:v>531122</c:v>
                </c:pt>
                <c:pt idx="16">
                  <c:v>202540</c:v>
                </c:pt>
                <c:pt idx="17">
                  <c:v>282085</c:v>
                </c:pt>
                <c:pt idx="18">
                  <c:v>1540645</c:v>
                </c:pt>
                <c:pt idx="19">
                  <c:v>280909</c:v>
                </c:pt>
                <c:pt idx="20">
                  <c:v>383526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2C5-4C8B-95FF-C02D899DA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baseline="0">
                <a:solidFill>
                  <a:srgbClr val="002060"/>
                </a:solidFill>
                <a:effectLst/>
              </a:rPr>
              <a:t>نمودار شماره 18- میزان نفرکیلومتر مناطق در سال 1402 </a:t>
            </a:r>
            <a:r>
              <a:rPr lang="en-US" sz="1200" b="1" i="0" u="none" strike="noStrike" baseline="0">
                <a:solidFill>
                  <a:srgbClr val="002060"/>
                </a:solidFill>
                <a:cs typeface="B Roya"/>
              </a:rPr>
              <a:t> </a:t>
            </a:r>
          </a:p>
        </c:rich>
      </c:tx>
      <c:layout>
        <c:manualLayout>
          <c:xMode val="edge"/>
          <c:yMode val="edge"/>
          <c:x val="0.25215482110788784"/>
          <c:y val="2.2489234300257923E-2"/>
        </c:manualLayout>
      </c:layout>
      <c:overlay val="0"/>
      <c:spPr>
        <a:ln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569346727744913"/>
          <c:y val="0.35033576909381042"/>
          <c:w val="0.5403509259185999"/>
          <c:h val="0.42999006162518644"/>
        </c:manualLayout>
      </c:layout>
      <c:pie3DChart>
        <c:varyColors val="1"/>
        <c:ser>
          <c:idx val="0"/>
          <c:order val="0"/>
          <c:tx>
            <c:strRef>
              <c:f>'67'!$C$19</c:f>
              <c:strCache>
                <c:ptCount val="1"/>
                <c:pt idx="0">
                  <c:v>1402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34-4EFB-AA1B-8E0D2F9872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34-4EFB-AA1B-8E0D2F9872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34-4EFB-AA1B-8E0D2F9872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34-4EFB-AA1B-8E0D2F9872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234-4EFB-AA1B-8E0D2F9872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234-4EFB-AA1B-8E0D2F9872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234-4EFB-AA1B-8E0D2F9872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234-4EFB-AA1B-8E0D2F9872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234-4EFB-AA1B-8E0D2F9872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234-4EFB-AA1B-8E0D2F98728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234-4EFB-AA1B-8E0D2F98728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234-4EFB-AA1B-8E0D2F98728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234-4EFB-AA1B-8E0D2F98728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234-4EFB-AA1B-8E0D2F9872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B-5234-4EFB-AA1B-8E0D2F9872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C-5234-4EFB-AA1B-8E0D2F9872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D-5234-4EFB-AA1B-8E0D2F98728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E-5234-4EFB-AA1B-8E0D2F98728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F-5234-4EFB-AA1B-8E0D2F98728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0-5234-4EFB-AA1B-8E0D2F98728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1-5234-4EFB-AA1B-8E0D2F987289}"/>
              </c:ext>
            </c:extLst>
          </c:dPt>
          <c:dLbls>
            <c:dLbl>
              <c:idx val="0"/>
              <c:layout>
                <c:manualLayout>
                  <c:x val="0.20882341865323603"/>
                  <c:y val="-0.112368152297334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4-4EFB-AA1B-8E0D2F987289}"/>
                </c:ext>
              </c:extLst>
            </c:dLbl>
            <c:dLbl>
              <c:idx val="1"/>
              <c:layout>
                <c:manualLayout>
                  <c:x val="0.22262572988092141"/>
                  <c:y val="-1.8344413966352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4-4EFB-AA1B-8E0D2F987289}"/>
                </c:ext>
              </c:extLst>
            </c:dLbl>
            <c:dLbl>
              <c:idx val="2"/>
              <c:layout>
                <c:manualLayout>
                  <c:x val="0.28455811909500811"/>
                  <c:y val="0.104055800616402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4-4EFB-AA1B-8E0D2F987289}"/>
                </c:ext>
              </c:extLst>
            </c:dLbl>
            <c:dLbl>
              <c:idx val="3"/>
              <c:layout>
                <c:manualLayout>
                  <c:x val="0.12007580279901835"/>
                  <c:y val="0.120730795747305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4-4EFB-AA1B-8E0D2F987289}"/>
                </c:ext>
              </c:extLst>
            </c:dLbl>
            <c:dLbl>
              <c:idx val="4"/>
              <c:layout>
                <c:manualLayout>
                  <c:x val="0.12950361705854491"/>
                  <c:y val="2.1619804040808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34-4EFB-AA1B-8E0D2F987289}"/>
                </c:ext>
              </c:extLst>
            </c:dLbl>
            <c:dLbl>
              <c:idx val="5"/>
              <c:layout>
                <c:manualLayout>
                  <c:x val="0.1092177786987153"/>
                  <c:y val="0.10485439320084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34-4EFB-AA1B-8E0D2F987289}"/>
                </c:ext>
              </c:extLst>
            </c:dLbl>
            <c:dLbl>
              <c:idx val="6"/>
              <c:layout>
                <c:manualLayout>
                  <c:x val="-2.3886586545102836E-2"/>
                  <c:y val="0.107554964720318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34-4EFB-AA1B-8E0D2F987289}"/>
                </c:ext>
              </c:extLst>
            </c:dLbl>
            <c:dLbl>
              <c:idx val="7"/>
              <c:layout>
                <c:manualLayout>
                  <c:x val="-0.17426647326978864"/>
                  <c:y val="0.12756132756132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34-4EFB-AA1B-8E0D2F987289}"/>
                </c:ext>
              </c:extLst>
            </c:dLbl>
            <c:dLbl>
              <c:idx val="8"/>
              <c:layout>
                <c:manualLayout>
                  <c:x val="-4.7987219807087929E-2"/>
                  <c:y val="9.6456222228744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34-4EFB-AA1B-8E0D2F987289}"/>
                </c:ext>
              </c:extLst>
            </c:dLbl>
            <c:dLbl>
              <c:idx val="9"/>
              <c:layout>
                <c:manualLayout>
                  <c:x val="-9.8137695937679972E-2"/>
                  <c:y val="0.11105590322117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34-4EFB-AA1B-8E0D2F987289}"/>
                </c:ext>
              </c:extLst>
            </c:dLbl>
            <c:dLbl>
              <c:idx val="10"/>
              <c:layout>
                <c:manualLayout>
                  <c:x val="-0.11027304050228037"/>
                  <c:y val="2.8471118348804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34-4EFB-AA1B-8E0D2F987289}"/>
                </c:ext>
              </c:extLst>
            </c:dLbl>
            <c:dLbl>
              <c:idx val="11"/>
              <c:layout>
                <c:manualLayout>
                  <c:x val="-0.10287827273923908"/>
                  <c:y val="-5.3597912595748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34-4EFB-AA1B-8E0D2F987289}"/>
                </c:ext>
              </c:extLst>
            </c:dLbl>
            <c:dLbl>
              <c:idx val="12"/>
              <c:layout>
                <c:manualLayout>
                  <c:x val="-9.6047682501755952E-2"/>
                  <c:y val="-0.12013039678926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34-4EFB-AA1B-8E0D2F987289}"/>
                </c:ext>
              </c:extLst>
            </c:dLbl>
            <c:dLbl>
              <c:idx val="13"/>
              <c:layout>
                <c:manualLayout>
                  <c:x val="-3.2102150335172622E-2"/>
                  <c:y val="-0.177589524939898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Mitra"/>
                      <a:ea typeface="B Mitra"/>
                      <a:cs typeface="B Mitr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34-4EFB-AA1B-8E0D2F987289}"/>
                </c:ext>
              </c:extLst>
            </c:dLbl>
            <c:dLbl>
              <c:idx val="14"/>
              <c:layout>
                <c:manualLayout>
                  <c:x val="1.1765329788193316E-2"/>
                  <c:y val="-0.185268957596927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34-4EFB-AA1B-8E0D2F987289}"/>
                </c:ext>
              </c:extLst>
            </c:dLbl>
            <c:dLbl>
              <c:idx val="15"/>
              <c:layout>
                <c:manualLayout>
                  <c:x val="5.204390842013356E-2"/>
                  <c:y val="-0.157582049124253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34-4EFB-AA1B-8E0D2F987289}"/>
                </c:ext>
              </c:extLst>
            </c:dLbl>
            <c:dLbl>
              <c:idx val="16"/>
              <c:layout>
                <c:manualLayout>
                  <c:x val="0.1189866984697418"/>
                  <c:y val="-0.180069784896258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34-4EFB-AA1B-8E0D2F987289}"/>
                </c:ext>
              </c:extLst>
            </c:dLbl>
            <c:dLbl>
              <c:idx val="17"/>
              <c:layout>
                <c:manualLayout>
                  <c:x val="0.16206664480896216"/>
                  <c:y val="-0.169908499747583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34-4EFB-AA1B-8E0D2F987289}"/>
                </c:ext>
              </c:extLst>
            </c:dLbl>
            <c:dLbl>
              <c:idx val="18"/>
              <c:layout>
                <c:manualLayout>
                  <c:x val="0.1975203482215625"/>
                  <c:y val="-0.144871342486771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34-4EFB-AA1B-8E0D2F9872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B Mitra"/>
                    <a:ea typeface="B Mitra"/>
                    <a:cs typeface="B Mitr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'67'!$A$20:$A$40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'67'!$C$20:$C$40</c:f>
              <c:numCache>
                <c:formatCode>#,##0</c:formatCode>
                <c:ptCount val="21"/>
                <c:pt idx="0">
                  <c:v>686215.53700000001</c:v>
                </c:pt>
                <c:pt idx="1">
                  <c:v>61746.014000000003</c:v>
                </c:pt>
                <c:pt idx="2">
                  <c:v>309851.34100000001</c:v>
                </c:pt>
                <c:pt idx="3">
                  <c:v>4559873.1809999999</c:v>
                </c:pt>
                <c:pt idx="4">
                  <c:v>195111.68400000001</c:v>
                </c:pt>
                <c:pt idx="5">
                  <c:v>366088.99400000001</c:v>
                </c:pt>
                <c:pt idx="6">
                  <c:v>189572.28200000001</c:v>
                </c:pt>
                <c:pt idx="7">
                  <c:v>65779.608999999997</c:v>
                </c:pt>
                <c:pt idx="8">
                  <c:v>5878910.2199999997</c:v>
                </c:pt>
                <c:pt idx="9">
                  <c:v>362375.53600000002</c:v>
                </c:pt>
                <c:pt idx="10">
                  <c:v>663743.43799999997</c:v>
                </c:pt>
                <c:pt idx="11">
                  <c:v>608302.22400000005</c:v>
                </c:pt>
                <c:pt idx="12">
                  <c:v>264565.36099999998</c:v>
                </c:pt>
                <c:pt idx="13">
                  <c:v>392752.30900000001</c:v>
                </c:pt>
                <c:pt idx="14">
                  <c:v>203753.356</c:v>
                </c:pt>
                <c:pt idx="15">
                  <c:v>542584.799</c:v>
                </c:pt>
                <c:pt idx="16">
                  <c:v>102189.97900000001</c:v>
                </c:pt>
                <c:pt idx="17">
                  <c:v>273307.79499999998</c:v>
                </c:pt>
                <c:pt idx="18">
                  <c:v>628874.53599999996</c:v>
                </c:pt>
                <c:pt idx="19">
                  <c:v>161454.36499999999</c:v>
                </c:pt>
                <c:pt idx="20">
                  <c:v>77015.832999999999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234-4EFB-AA1B-8E0D2F98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chemeClr val="accent1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chemeClr val="accent1"/>
                </a:solidFill>
                <a:effectLst/>
              </a:rPr>
              <a:t>نمودار شماره </a:t>
            </a:r>
            <a:r>
              <a:rPr lang="fa-IR" sz="1100" b="1" i="0" u="none" strike="noStrike" baseline="0">
                <a:solidFill>
                  <a:schemeClr val="accent1"/>
                </a:solidFill>
                <a:effectLst/>
              </a:rPr>
              <a:t>20- </a:t>
            </a:r>
            <a:r>
              <a:rPr lang="en-US" sz="1200" b="1" i="0" u="none" strike="noStrike" baseline="0">
                <a:solidFill>
                  <a:schemeClr val="accent1"/>
                </a:solidFill>
                <a:cs typeface="B Nazanin"/>
              </a:rPr>
              <a:t>مقايسه</a:t>
            </a:r>
            <a:r>
              <a:rPr lang="en-US" sz="1200" b="1" i="0" u="none" strike="noStrike" baseline="0">
                <a:solidFill>
                  <a:schemeClr val="accent1"/>
                </a:solidFill>
                <a:latin typeface="Calibri"/>
                <a:cs typeface="B Nazanin"/>
              </a:rPr>
              <a:t> انواع تعميرات انجام شده واگن باري در سالهاي</a:t>
            </a:r>
            <a:r>
              <a:rPr lang="fa-IR" sz="1200" b="1" i="0" u="none" strike="noStrike" baseline="0">
                <a:solidFill>
                  <a:schemeClr val="accent1"/>
                </a:solidFill>
                <a:latin typeface="Calibri"/>
                <a:cs typeface="B Nazanin"/>
              </a:rPr>
              <a:t> 1401-1402</a:t>
            </a:r>
            <a:endParaRPr lang="en-US" sz="1200" b="1" i="0" u="none" strike="noStrike" baseline="0">
              <a:solidFill>
                <a:schemeClr val="accent1"/>
              </a:solidFill>
              <a:cs typeface="B Nazanin"/>
            </a:endParaRPr>
          </a:p>
        </c:rich>
      </c:tx>
      <c:layout>
        <c:manualLayout>
          <c:xMode val="edge"/>
          <c:yMode val="edge"/>
          <c:x val="0.15904943625780149"/>
          <c:y val="3.1659074690137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285433070866"/>
          <c:y val="0.14575678040244966"/>
          <c:w val="0.87328088191141651"/>
          <c:h val="0.740019976850513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'83'!$C$15</c:f>
              <c:strCache>
                <c:ptCount val="1"/>
                <c:pt idx="0">
                  <c:v>1401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'83'!$A$21:$A$22</c:f>
              <c:strCache>
                <c:ptCount val="2"/>
                <c:pt idx="0">
                  <c:v>تعميرات اساسي    </c:v>
                </c:pt>
                <c:pt idx="1">
                  <c:v>تعميرات ويژه        </c:v>
                </c:pt>
              </c:strCache>
            </c:strRef>
          </c:cat>
          <c:val>
            <c:numRef>
              <c:f>'83'!$C$21:$C$22</c:f>
              <c:numCache>
                <c:formatCode>#,##0</c:formatCode>
                <c:ptCount val="2"/>
                <c:pt idx="0">
                  <c:v>6838</c:v>
                </c:pt>
                <c:pt idx="1">
                  <c:v>44273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3-4195-A6F9-8531D1612F90}"/>
            </c:ext>
          </c:extLst>
        </c:ser>
        <c:ser>
          <c:idx val="2"/>
          <c:order val="2"/>
          <c:tx>
            <c:strRef>
              <c:f>'83'!$D$15</c:f>
              <c:strCache>
                <c:ptCount val="1"/>
                <c:pt idx="0">
                  <c:v>1402</c:v>
                </c:pt>
              </c:strCache>
            </c:strRef>
          </c:tx>
          <c:invertIfNegative val="0"/>
          <c:cat>
            <c:strRef>
              <c:f>'83'!$A$21:$A$22</c:f>
              <c:strCache>
                <c:ptCount val="2"/>
                <c:pt idx="0">
                  <c:v>تعميرات اساسي    </c:v>
                </c:pt>
                <c:pt idx="1">
                  <c:v>تعميرات ويژه        </c:v>
                </c:pt>
              </c:strCache>
            </c:strRef>
          </c:cat>
          <c:val>
            <c:numRef>
              <c:f>'83'!$D$21:$D$22</c:f>
              <c:numCache>
                <c:formatCode>#,##0</c:formatCode>
                <c:ptCount val="2"/>
                <c:pt idx="0">
                  <c:v>6528</c:v>
                </c:pt>
                <c:pt idx="1">
                  <c:v>42939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3-4195-A6F9-8531D161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42008784"/>
        <c:axId val="1442004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dkDnDiag">
                    <a:fgClr>
                      <a:srgbClr val="FFC000"/>
                    </a:fgClr>
                    <a:bgClr>
                      <a:srgbClr val="FFFFFF"/>
                    </a:bgClr>
                  </a:patt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'83'!$A$21:$A$22</c15:sqref>
                        </c15:formulaRef>
                      </c:ext>
                    </c:extLst>
                    <c:strCache>
                      <c:ptCount val="2"/>
                      <c:pt idx="0">
                        <c:v>تعميرات اساسي    </c:v>
                      </c:pt>
                      <c:pt idx="1">
                        <c:v>تعميرات ويژه      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'83'!$B$21:$B$22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DD3-4195-A6F9-8531D1612F90}"/>
                  </c:ext>
                </c:extLst>
              </c15:ser>
            </c15:filteredBarSeries>
          </c:ext>
        </c:extLst>
      </c:barChart>
      <c:catAx>
        <c:axId val="144200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49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44200497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200" b="1" i="0" u="none" strike="noStrike" kern="1200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1442008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8.6806014387397993E-3"/>
                <c:y val="0.1961949880421207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r>
                    <a:rPr lang="fa-IR"/>
                    <a:t>هزار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 algn="ctr">
              <a:defRPr lang="en-US" sz="900" b="1" i="0" u="none" strike="noStrike" kern="1200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</c:legendEntry>
      <c:layout>
        <c:manualLayout>
          <c:xMode val="edge"/>
          <c:yMode val="edge"/>
          <c:x val="0.26801284089156285"/>
          <c:y val="0.33862107326448698"/>
          <c:w val="8.5545367973824296E-2"/>
          <c:h val="0.146079872769229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 algn="ctr">
            <a:defRPr lang="en-US" sz="900" b="1" i="0" u="none" strike="noStrike" kern="1200" baseline="0">
              <a:solidFill>
                <a:srgbClr val="000000"/>
              </a:solidFill>
              <a:latin typeface="B Mitra"/>
              <a:ea typeface="B Mitra"/>
              <a:cs typeface="B Mitr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نمودار شماره 21 _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میانگين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روزانه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تعداد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لكوموتيو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Roya"/>
              </a:rPr>
              <a:t>کل(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درگردش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)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endParaRPr lang="fa-IR" sz="1200" b="1" i="0" u="none" strike="noStrike" baseline="0">
              <a:solidFill>
                <a:srgbClr val="333399"/>
              </a:solidFill>
              <a:cs typeface="B Roya"/>
            </a:endParaRP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به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تفکيک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نوع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سرويس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و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ماه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در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سال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Roya"/>
              </a:rPr>
              <a:t>1402</a:t>
            </a:r>
            <a:endParaRPr lang="en-US" sz="1200" b="1" i="0" u="none" strike="noStrike" baseline="0">
              <a:solidFill>
                <a:srgbClr val="3333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21391676607159843"/>
          <c:y val="2.8307355284022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768115942029"/>
          <c:y val="0.18979727039180336"/>
          <c:w val="0.84299516908212557"/>
          <c:h val="0.66976678617749696"/>
        </c:manualLayout>
      </c:layout>
      <c:lineChart>
        <c:grouping val="standard"/>
        <c:varyColors val="0"/>
        <c:ser>
          <c:idx val="0"/>
          <c:order val="0"/>
          <c:tx>
            <c:strRef>
              <c:f>'95'!$O$3</c:f>
              <c:strCache>
                <c:ptCount val="1"/>
                <c:pt idx="0">
                  <c:v>باري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'95'!$L$4:$L$15</c:f>
              <c:strCache>
                <c:ptCount val="12"/>
                <c:pt idx="0">
                  <c:v>فروردين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'95'!$O$4:$O$15</c:f>
              <c:numCache>
                <c:formatCode>0</c:formatCode>
                <c:ptCount val="12"/>
                <c:pt idx="0">
                  <c:v>366.96774193548384</c:v>
                </c:pt>
                <c:pt idx="1">
                  <c:v>365.58064516129031</c:v>
                </c:pt>
                <c:pt idx="2">
                  <c:v>343.77419354838707</c:v>
                </c:pt>
                <c:pt idx="3">
                  <c:v>352.41935483870969</c:v>
                </c:pt>
                <c:pt idx="4">
                  <c:v>349</c:v>
                </c:pt>
                <c:pt idx="5">
                  <c:v>373.48387096774195</c:v>
                </c:pt>
                <c:pt idx="6">
                  <c:v>364.96666666666664</c:v>
                </c:pt>
                <c:pt idx="7">
                  <c:v>361.8</c:v>
                </c:pt>
                <c:pt idx="8">
                  <c:v>371.06666666666666</c:v>
                </c:pt>
                <c:pt idx="9">
                  <c:v>371.8</c:v>
                </c:pt>
                <c:pt idx="10">
                  <c:v>365.9</c:v>
                </c:pt>
                <c:pt idx="11">
                  <c:v>368.24137931034483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A-4574-8B05-BE9E6BACDAE8}"/>
            </c:ext>
          </c:extLst>
        </c:ser>
        <c:ser>
          <c:idx val="1"/>
          <c:order val="1"/>
          <c:tx>
            <c:strRef>
              <c:f>'95'!$P$3</c:f>
              <c:strCache>
                <c:ptCount val="1"/>
                <c:pt idx="0">
                  <c:v>مسافري</c:v>
                </c:pt>
              </c:strCache>
            </c:strRef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'95'!$L$4:$L$15</c:f>
              <c:strCache>
                <c:ptCount val="12"/>
                <c:pt idx="0">
                  <c:v>فروردين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'95'!$P$4:$P$15</c:f>
              <c:numCache>
                <c:formatCode>0</c:formatCode>
                <c:ptCount val="12"/>
                <c:pt idx="0">
                  <c:v>132.2258064516129</c:v>
                </c:pt>
                <c:pt idx="1">
                  <c:v>115.25806451612904</c:v>
                </c:pt>
                <c:pt idx="2">
                  <c:v>119.93548387096774</c:v>
                </c:pt>
                <c:pt idx="3">
                  <c:v>122.7741935483871</c:v>
                </c:pt>
                <c:pt idx="4">
                  <c:v>130.93548387096774</c:v>
                </c:pt>
                <c:pt idx="5">
                  <c:v>151.19354838709677</c:v>
                </c:pt>
                <c:pt idx="6">
                  <c:v>162.30000000000001</c:v>
                </c:pt>
                <c:pt idx="7">
                  <c:v>165.6</c:v>
                </c:pt>
                <c:pt idx="8">
                  <c:v>162.13333333333333</c:v>
                </c:pt>
                <c:pt idx="9">
                  <c:v>159.96666666666667</c:v>
                </c:pt>
                <c:pt idx="10">
                  <c:v>163.56666666666666</c:v>
                </c:pt>
                <c:pt idx="11">
                  <c:v>164.13793103448276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A-4574-8B05-BE9E6BAC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257872"/>
        <c:axId val="1443256784"/>
      </c:lineChart>
      <c:catAx>
        <c:axId val="144325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325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256784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دستگاه</a:t>
                </a:r>
              </a:p>
            </c:rich>
          </c:tx>
          <c:layout>
            <c:manualLayout>
              <c:xMode val="edge"/>
              <c:yMode val="edge"/>
              <c:x val="7.8682572212034358E-3"/>
              <c:y val="0.23836928242940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3257872"/>
        <c:crosses val="autoZero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27772071969265"/>
          <c:y val="0.38947986069049062"/>
          <c:w val="0.1503672638746244"/>
          <c:h val="0.15550777306682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نمودار شماره 22 _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ميانگين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روزانه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مسافت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پيموده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شده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توسط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هر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لکوموتيو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 کل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 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(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در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گردش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)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به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تفکيک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نوع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سرويس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و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ماه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در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سال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Roya"/>
              </a:rPr>
              <a:t> 1402</a:t>
            </a:r>
            <a:endParaRPr lang="en-US" sz="1200" b="1" i="0" u="none" strike="noStrike" baseline="0">
              <a:solidFill>
                <a:srgbClr val="3333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17175682153654845"/>
          <c:y val="4.8015735621699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7406080173651"/>
          <c:y val="0.20029066172225626"/>
          <c:w val="0.84644816867375172"/>
          <c:h val="0.66350943966227316"/>
        </c:manualLayout>
      </c:layout>
      <c:lineChart>
        <c:grouping val="standard"/>
        <c:varyColors val="0"/>
        <c:ser>
          <c:idx val="0"/>
          <c:order val="0"/>
          <c:tx>
            <c:strRef>
              <c:f>'95'!$M$3</c:f>
              <c:strCache>
                <c:ptCount val="1"/>
                <c:pt idx="0">
                  <c:v>باري 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'95'!$L$4:$L$15</c:f>
              <c:strCache>
                <c:ptCount val="12"/>
                <c:pt idx="0">
                  <c:v>فروردين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'95'!$M$4:$M$15</c:f>
              <c:numCache>
                <c:formatCode>0</c:formatCode>
                <c:ptCount val="12"/>
                <c:pt idx="0">
                  <c:v>389.85082630098458</c:v>
                </c:pt>
                <c:pt idx="1">
                  <c:v>381.32365657813472</c:v>
                </c:pt>
                <c:pt idx="2">
                  <c:v>356.34005817772356</c:v>
                </c:pt>
                <c:pt idx="3">
                  <c:v>334.03304347826082</c:v>
                </c:pt>
                <c:pt idx="4">
                  <c:v>342.00517607912008</c:v>
                </c:pt>
                <c:pt idx="5">
                  <c:v>332.00690965624455</c:v>
                </c:pt>
                <c:pt idx="6">
                  <c:v>343.33108046396933</c:v>
                </c:pt>
                <c:pt idx="7">
                  <c:v>340.61636263128798</c:v>
                </c:pt>
                <c:pt idx="8">
                  <c:v>335.83273445921668</c:v>
                </c:pt>
                <c:pt idx="9">
                  <c:v>335.02133763672225</c:v>
                </c:pt>
                <c:pt idx="10">
                  <c:v>333.12498861255352</c:v>
                </c:pt>
                <c:pt idx="11">
                  <c:v>331.16218747073697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0-454F-846C-54A7FBF4FC8B}"/>
            </c:ext>
          </c:extLst>
        </c:ser>
        <c:ser>
          <c:idx val="1"/>
          <c:order val="1"/>
          <c:tx>
            <c:strRef>
              <c:f>'95'!$N$3</c:f>
              <c:strCache>
                <c:ptCount val="1"/>
                <c:pt idx="0">
                  <c:v>مسافري</c:v>
                </c:pt>
              </c:strCache>
            </c:strRef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'95'!$L$4:$L$15</c:f>
              <c:strCache>
                <c:ptCount val="12"/>
                <c:pt idx="0">
                  <c:v>فروردين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'95'!$N$4:$N$15</c:f>
              <c:numCache>
                <c:formatCode>0</c:formatCode>
                <c:ptCount val="12"/>
                <c:pt idx="0">
                  <c:v>860.48767992193223</c:v>
                </c:pt>
                <c:pt idx="1">
                  <c:v>867.3243772739994</c:v>
                </c:pt>
                <c:pt idx="2">
                  <c:v>887.09790209790208</c:v>
                </c:pt>
                <c:pt idx="3">
                  <c:v>850.5162900683132</c:v>
                </c:pt>
                <c:pt idx="4">
                  <c:v>817.91845282089184</c:v>
                </c:pt>
                <c:pt idx="5">
                  <c:v>681.41860465116281</c:v>
                </c:pt>
                <c:pt idx="6">
                  <c:v>696.27911275415897</c:v>
                </c:pt>
                <c:pt idx="7">
                  <c:v>669.37298711755238</c:v>
                </c:pt>
                <c:pt idx="8">
                  <c:v>660.40460526315792</c:v>
                </c:pt>
                <c:pt idx="9">
                  <c:v>672.9904146697229</c:v>
                </c:pt>
                <c:pt idx="10">
                  <c:v>679.12207051151415</c:v>
                </c:pt>
                <c:pt idx="11">
                  <c:v>685.06197478991601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0-454F-846C-54A7FBF4F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261680"/>
        <c:axId val="1443269840"/>
      </c:lineChart>
      <c:catAx>
        <c:axId val="144326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326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269840"/>
        <c:scaling>
          <c:orientation val="minMax"/>
          <c:max val="10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a-IR"/>
                  <a:t>کیلومتر</a:t>
                </a:r>
              </a:p>
            </c:rich>
          </c:tx>
          <c:layout>
            <c:manualLayout>
              <c:xMode val="edge"/>
              <c:yMode val="edge"/>
              <c:x val="1.867095726958181E-2"/>
              <c:y val="0.20937237455247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3261680"/>
        <c:crosses val="autoZero"/>
        <c:crossBetween val="between"/>
        <c:majorUnit val="1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08376114559596"/>
          <c:y val="0.21986038979170158"/>
          <c:w val="0.14862838347738183"/>
          <c:h val="0.13134056824457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نمودار شماره 21 _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میانگين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روزانه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تعداد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لكوموتيو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 باری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Roya"/>
              </a:rPr>
              <a:t>آماده بکار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به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تفکيک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ماه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در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سال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Roya"/>
              </a:rPr>
              <a:t>1402</a:t>
            </a:r>
            <a:endParaRPr lang="en-US" sz="1200" b="1" i="0" u="none" strike="noStrike" baseline="0">
              <a:solidFill>
                <a:srgbClr val="3333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21391676607159843"/>
          <c:y val="2.8307355284022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768115942029"/>
          <c:y val="0.18979727039180336"/>
          <c:w val="0.84299516908212557"/>
          <c:h val="0.66976678617749696"/>
        </c:manualLayout>
      </c:layout>
      <c:lineChart>
        <c:grouping val="standard"/>
        <c:varyColors val="0"/>
        <c:ser>
          <c:idx val="0"/>
          <c:order val="0"/>
          <c:tx>
            <c:strRef>
              <c:f>'95 (2)'!$O$3</c:f>
              <c:strCache>
                <c:ptCount val="1"/>
                <c:pt idx="0">
                  <c:v>باري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 (2)'!$L$4:$L$15</c:f>
              <c:strCache>
                <c:ptCount val="12"/>
                <c:pt idx="0">
                  <c:v>فروردين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'95 (2)'!$O$4:$O$15</c:f>
              <c:numCache>
                <c:formatCode>0</c:formatCode>
                <c:ptCount val="12"/>
                <c:pt idx="0">
                  <c:v>309.80645161290323</c:v>
                </c:pt>
                <c:pt idx="1">
                  <c:v>302.51612903225805</c:v>
                </c:pt>
                <c:pt idx="2">
                  <c:v>274.77419354838707</c:v>
                </c:pt>
                <c:pt idx="3">
                  <c:v>282.77419354838707</c:v>
                </c:pt>
                <c:pt idx="4">
                  <c:v>267.22580645161293</c:v>
                </c:pt>
                <c:pt idx="5">
                  <c:v>268.87096774193549</c:v>
                </c:pt>
                <c:pt idx="6">
                  <c:v>270.33333333333331</c:v>
                </c:pt>
                <c:pt idx="7">
                  <c:v>265.63333333333333</c:v>
                </c:pt>
                <c:pt idx="8">
                  <c:v>273.16666666666669</c:v>
                </c:pt>
                <c:pt idx="9">
                  <c:v>270.60000000000002</c:v>
                </c:pt>
                <c:pt idx="10">
                  <c:v>269.53333333333336</c:v>
                </c:pt>
                <c:pt idx="11">
                  <c:v>270.31034482758622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3-428F-96C6-B04B4A973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06608"/>
        <c:axId val="144200008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'95 (2)'!$P$3</c15:sqref>
                        </c15:formulaRef>
                      </c:ext>
                    </c:extLst>
                    <c:strCache>
                      <c:ptCount val="1"/>
                      <c:pt idx="0">
                        <c:v>مسافري</c:v>
                      </c:pt>
                    </c:strCache>
                  </c:strRef>
                </c:tx>
                <c:spPr>
                  <a:ln w="38100">
                    <a:solidFill>
                      <a:srgbClr val="FFC000"/>
                    </a:solidFill>
                    <a:prstDash val="solid"/>
                  </a:ln>
                </c:spPr>
                <c:marker>
                  <c:symbol val="square"/>
                  <c:size val="7"/>
                  <c:spPr>
                    <a:solidFill>
                      <a:srgbClr val="FFFFFF"/>
                    </a:solidFill>
                    <a:ln>
                      <a:solidFill>
                        <a:srgbClr val="99CC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'95 (2)'!$L$4:$L$15</c15:sqref>
                        </c15:formulaRef>
                      </c:ext>
                    </c:extLst>
                    <c:strCache>
                      <c:ptCount val="12"/>
                      <c:pt idx="0">
                        <c:v>فروردين</c:v>
                      </c:pt>
                      <c:pt idx="1">
                        <c:v>ارديبهشت</c:v>
                      </c:pt>
                      <c:pt idx="2">
                        <c:v>خرداد</c:v>
                      </c:pt>
                      <c:pt idx="3">
                        <c:v>تير</c:v>
                      </c:pt>
                      <c:pt idx="4">
                        <c:v>مرداد</c:v>
                      </c:pt>
                      <c:pt idx="5">
                        <c:v>شهريور</c:v>
                      </c:pt>
                      <c:pt idx="6">
                        <c:v>مهر</c:v>
                      </c:pt>
                      <c:pt idx="7">
                        <c:v>آبان</c:v>
                      </c:pt>
                      <c:pt idx="8">
                        <c:v>آذر</c:v>
                      </c:pt>
                      <c:pt idx="9">
                        <c:v>دي</c:v>
                      </c:pt>
                      <c:pt idx="10">
                        <c:v>بهمن</c:v>
                      </c:pt>
                      <c:pt idx="11">
                        <c:v>اسفند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'95 (2)'!$P$4:$P$15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125.48387096774194</c:v>
                      </c:pt>
                      <c:pt idx="1">
                        <c:v>108.54838709677419</c:v>
                      </c:pt>
                      <c:pt idx="2">
                        <c:v>114.3225806451613</c:v>
                      </c:pt>
                      <c:pt idx="3">
                        <c:v>117.7741935483871</c:v>
                      </c:pt>
                      <c:pt idx="4">
                        <c:v>114.90322580645162</c:v>
                      </c:pt>
                      <c:pt idx="5">
                        <c:v>110.7741935483871</c:v>
                      </c:pt>
                      <c:pt idx="6">
                        <c:v>117.76666666666667</c:v>
                      </c:pt>
                      <c:pt idx="7">
                        <c:v>118.2</c:v>
                      </c:pt>
                      <c:pt idx="8">
                        <c:v>117.03333333333333</c:v>
                      </c:pt>
                      <c:pt idx="9">
                        <c:v>119.23333333333333</c:v>
                      </c:pt>
                      <c:pt idx="10">
                        <c:v>122.06666666666666</c:v>
                      </c:pt>
                      <c:pt idx="11">
                        <c:v>123.82758620689656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B13-428F-96C6-B04B4A97328F}"/>
                  </c:ext>
                </c:extLst>
              </c15:ser>
            </c15:filteredLineSeries>
          </c:ext>
        </c:extLst>
      </c:lineChart>
      <c:catAx>
        <c:axId val="14420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000080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دستگاه</a:t>
                </a:r>
              </a:p>
            </c:rich>
          </c:tx>
          <c:layout>
            <c:manualLayout>
              <c:xMode val="edge"/>
              <c:yMode val="edge"/>
              <c:x val="7.8682572212034358E-3"/>
              <c:y val="0.23836928242940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6608"/>
        <c:crosses val="autoZero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defRPr>
            </a:pPr>
            <a:r>
              <a: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rPr>
              <a:t>نمودار شماره 22 _میانگين روزانه  تعداد لكوموتيو مسافری</a:t>
            </a:r>
          </a:p>
          <a:p>
            <a:pPr algn="ctr" rtl="1">
              <a:def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defRPr>
            </a:pPr>
            <a:r>
              <a: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rPr>
              <a:t>آماده بکار به تفکيک ماه در سال 1402</a:t>
            </a:r>
          </a:p>
          <a:p>
            <a:pPr algn="ctr" rtl="1">
              <a:def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defRPr>
            </a:pPr>
            <a:r>
              <a: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rPr>
              <a:t> </a:t>
            </a:r>
          </a:p>
        </c:rich>
      </c:tx>
      <c:layout>
        <c:manualLayout>
          <c:xMode val="edge"/>
          <c:yMode val="edge"/>
          <c:x val="0.20771037377007598"/>
          <c:y val="2.3251398233056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7406080173651"/>
          <c:y val="0.20029066172225626"/>
          <c:w val="0.84644816867375172"/>
          <c:h val="0.63959796809425995"/>
        </c:manualLayout>
      </c:layout>
      <c:lineChart>
        <c:grouping val="standard"/>
        <c:varyColors val="0"/>
        <c:ser>
          <c:idx val="0"/>
          <c:order val="0"/>
          <c:tx>
            <c:strRef>
              <c:f>'95 (2)'!$P$3</c:f>
              <c:strCache>
                <c:ptCount val="1"/>
                <c:pt idx="0">
                  <c:v>مسافري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 (2)'!$L$4:$L$15</c:f>
              <c:strCache>
                <c:ptCount val="12"/>
                <c:pt idx="0">
                  <c:v>فروردين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'95 (2)'!$P$4:$P$15</c:f>
              <c:numCache>
                <c:formatCode>0</c:formatCode>
                <c:ptCount val="12"/>
                <c:pt idx="0">
                  <c:v>125.48387096774194</c:v>
                </c:pt>
                <c:pt idx="1">
                  <c:v>108.54838709677419</c:v>
                </c:pt>
                <c:pt idx="2">
                  <c:v>114.3225806451613</c:v>
                </c:pt>
                <c:pt idx="3">
                  <c:v>117.7741935483871</c:v>
                </c:pt>
                <c:pt idx="4">
                  <c:v>114.90322580645162</c:v>
                </c:pt>
                <c:pt idx="5">
                  <c:v>110.7741935483871</c:v>
                </c:pt>
                <c:pt idx="6">
                  <c:v>117.76666666666667</c:v>
                </c:pt>
                <c:pt idx="7">
                  <c:v>118.2</c:v>
                </c:pt>
                <c:pt idx="8">
                  <c:v>117.03333333333333</c:v>
                </c:pt>
                <c:pt idx="9">
                  <c:v>119.23333333333333</c:v>
                </c:pt>
                <c:pt idx="10">
                  <c:v>122.06666666666666</c:v>
                </c:pt>
                <c:pt idx="11">
                  <c:v>123.82758620689656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0-491E-B65B-EE7AE2502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7904"/>
        <c:axId val="1443262768"/>
      </c:lineChart>
      <c:catAx>
        <c:axId val="144199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/>
            </a:pPr>
            <a:endParaRPr lang="fa-IR"/>
          </a:p>
        </c:txPr>
        <c:crossAx val="144326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262768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fa-IR" sz="1050"/>
                  <a:t>دستگاه</a:t>
                </a:r>
              </a:p>
            </c:rich>
          </c:tx>
          <c:layout>
            <c:manualLayout>
              <c:xMode val="edge"/>
              <c:yMode val="edge"/>
              <c:x val="1.892611830749016E-3"/>
              <c:y val="0.28056966693462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a-IR"/>
          </a:p>
        </c:txPr>
        <c:crossAx val="1441997904"/>
        <c:crosses val="autoZero"/>
        <c:crossBetween val="between"/>
        <c:majorUnit val="20"/>
        <c:min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 algn="ctr" rtl="1">
        <a:defRPr lang="en-US" sz="1200" b="1" i="0" u="none" strike="noStrike" kern="1200" baseline="0">
          <a:solidFill>
            <a:srgbClr val="333399"/>
          </a:solidFill>
          <a:latin typeface="B Roya"/>
          <a:ea typeface="B Roya"/>
          <a:cs typeface="B Nazanin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B Nazanin"/>
                <a:ea typeface="B Nazanin"/>
                <a:cs typeface="B Nazanin"/>
              </a:defRPr>
            </a:pPr>
            <a:r>
              <a:rPr lang="fa-IR" sz="1600"/>
              <a:t>نمودار شماره 24 - سهم كاركنان</a:t>
            </a:r>
            <a:r>
              <a:rPr lang="fa-IR" sz="1600" baseline="0"/>
              <a:t> </a:t>
            </a:r>
            <a:r>
              <a:rPr lang="fa-IR" sz="1600"/>
              <a:t>برحسب سابقه کاری در سال 1400</a:t>
            </a:r>
          </a:p>
        </c:rich>
      </c:tx>
      <c:layout>
        <c:manualLayout>
          <c:xMode val="edge"/>
          <c:yMode val="edge"/>
          <c:x val="0.13557310745739473"/>
          <c:y val="8.3874929423158426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80272105787975"/>
          <c:y val="0.38686982096716616"/>
          <c:w val="0.74488567990373034"/>
          <c:h val="0.4649989467151747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2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08-4010-B129-4AC9BD1ED47B}"/>
              </c:ext>
            </c:extLst>
          </c:dPt>
          <c:dPt>
            <c:idx val="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08-4010-B129-4AC9BD1ED47B}"/>
              </c:ext>
            </c:extLst>
          </c:dPt>
          <c:dPt>
            <c:idx val="2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08-4010-B129-4AC9BD1ED47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08-4010-B129-4AC9BD1ED47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08-4010-B129-4AC9BD1ED47B}"/>
              </c:ext>
            </c:extLst>
          </c:dPt>
          <c:dPt>
            <c:idx val="5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808-4010-B129-4AC9BD1ED47B}"/>
              </c:ext>
            </c:extLst>
          </c:dPt>
          <c:dLbls>
            <c:dLbl>
              <c:idx val="0"/>
              <c:layout>
                <c:manualLayout>
                  <c:x val="7.3907190172656984E-2"/>
                  <c:y val="-2.94679185701811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08-4010-B129-4AC9BD1ED47B}"/>
                </c:ext>
              </c:extLst>
            </c:dLbl>
            <c:dLbl>
              <c:idx val="1"/>
              <c:layout>
                <c:manualLayout>
                  <c:x val="3.9481921902619184E-2"/>
                  <c:y val="7.19949798216894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8-4010-B129-4AC9BD1ED47B}"/>
                </c:ext>
              </c:extLst>
            </c:dLbl>
            <c:dLbl>
              <c:idx val="2"/>
              <c:layout>
                <c:manualLayout>
                  <c:x val="-7.0905279697180745E-2"/>
                  <c:y val="-8.2838896337408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08-4010-B129-4AC9BD1ED47B}"/>
                </c:ext>
              </c:extLst>
            </c:dLbl>
            <c:dLbl>
              <c:idx val="3"/>
              <c:layout>
                <c:manualLayout>
                  <c:x val="-6.3050547253022005E-2"/>
                  <c:y val="-4.86529110536343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8-4010-B129-4AC9BD1ED47B}"/>
                </c:ext>
              </c:extLst>
            </c:dLbl>
            <c:dLbl>
              <c:idx val="4"/>
              <c:layout>
                <c:manualLayout>
                  <c:x val="-0.15174147455394796"/>
                  <c:y val="-1.8013561753804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08-4010-B129-4AC9BD1ED47B}"/>
                </c:ext>
              </c:extLst>
            </c:dLbl>
            <c:dLbl>
              <c:idx val="5"/>
              <c:layout>
                <c:manualLayout>
                  <c:x val="-4.3391985749073742E-2"/>
                  <c:y val="-9.5059809497782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8-4010-B129-4AC9BD1ED47B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0110600116323744"/>
                  <c:y val="0.17218543046357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08-4010-B129-4AC9BD1ED47B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5.3712563117969875E-2"/>
                  <c:y val="0.374172185430463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08-4010-B129-4AC9BD1ED4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B Mitra"/>
                    <a:ea typeface="B Mitra"/>
                    <a:cs typeface="B Mitr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'[4]100-103j'!$AD$81:$AD$84</c:f>
              <c:strCache>
                <c:ptCount val="4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30به بالا</c:v>
                </c:pt>
              </c:strCache>
            </c:strRef>
          </c:cat>
          <c:val>
            <c:numRef>
              <c:f>'[4]100-103j'!$AE$81:$AE$84</c:f>
              <c:numCache>
                <c:formatCode>General</c:formatCode>
                <c:ptCount val="4"/>
                <c:pt idx="0">
                  <c:v>977</c:v>
                </c:pt>
                <c:pt idx="1">
                  <c:v>2565</c:v>
                </c:pt>
                <c:pt idx="2">
                  <c:v>3401</c:v>
                </c:pt>
                <c:pt idx="3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08-4010-B129-4AC9BD1ED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333399"/>
                </a:solidFill>
                <a:latin typeface="B Nazanin"/>
                <a:ea typeface="B Nazanin"/>
                <a:cs typeface="B Nazanin"/>
              </a:defRPr>
            </a:pPr>
            <a:r>
              <a:rPr lang="fa-IR" sz="1500"/>
              <a:t>نمودار شماره 25 - سهم كاركنان</a:t>
            </a:r>
            <a:r>
              <a:rPr lang="fa-IR" sz="1500" baseline="0"/>
              <a:t> </a:t>
            </a:r>
            <a:r>
              <a:rPr lang="fa-IR" sz="1500"/>
              <a:t>برحسب وضعیت اشتغال در سال 1400</a:t>
            </a:r>
          </a:p>
        </c:rich>
      </c:tx>
      <c:layout>
        <c:manualLayout>
          <c:xMode val="edge"/>
          <c:yMode val="edge"/>
          <c:x val="0.14455654403323234"/>
          <c:y val="6.0860601256442513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80272105787975"/>
          <c:y val="0.38686982096716616"/>
          <c:w val="0.74488567990373034"/>
          <c:h val="0.4649989467151747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2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BE-4E0F-80EF-6BB7C075324A}"/>
              </c:ext>
            </c:extLst>
          </c:dPt>
          <c:dPt>
            <c:idx val="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BE-4E0F-80EF-6BB7C075324A}"/>
              </c:ext>
            </c:extLst>
          </c:dPt>
          <c:dPt>
            <c:idx val="2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BE-4E0F-80EF-6BB7C075324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BE-4E0F-80EF-6BB7C075324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BE-4E0F-80EF-6BB7C075324A}"/>
              </c:ext>
            </c:extLst>
          </c:dPt>
          <c:dPt>
            <c:idx val="5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BE-4E0F-80EF-6BB7C075324A}"/>
              </c:ext>
            </c:extLst>
          </c:dPt>
          <c:dLbls>
            <c:dLbl>
              <c:idx val="0"/>
              <c:layout>
                <c:manualLayout>
                  <c:x val="0.12470084096630778"/>
                  <c:y val="-2.94679185701812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E-4E0F-80EF-6BB7C075324A}"/>
                </c:ext>
              </c:extLst>
            </c:dLbl>
            <c:dLbl>
              <c:idx val="1"/>
              <c:layout>
                <c:manualLayout>
                  <c:x val="4.4924149824232262E-2"/>
                  <c:y val="-3.623527536281445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E-4E0F-80EF-6BB7C075324A}"/>
                </c:ext>
              </c:extLst>
            </c:dLbl>
            <c:dLbl>
              <c:idx val="2"/>
              <c:layout>
                <c:manualLayout>
                  <c:x val="5.0042230038092224E-2"/>
                  <c:y val="-4.3385762337323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E-4E0F-80EF-6BB7C075324A}"/>
                </c:ext>
              </c:extLst>
            </c:dLbl>
            <c:dLbl>
              <c:idx val="3"/>
              <c:layout>
                <c:manualLayout>
                  <c:x val="0.12448165772168741"/>
                  <c:y val="-9.199777053549863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E-4E0F-80EF-6BB7C075324A}"/>
                </c:ext>
              </c:extLst>
            </c:dLbl>
            <c:dLbl>
              <c:idx val="4"/>
              <c:layout>
                <c:manualLayout>
                  <c:x val="3.166920209162425E-2"/>
                  <c:y val="4.1166135231570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BE-4E0F-80EF-6BB7C075324A}"/>
                </c:ext>
              </c:extLst>
            </c:dLbl>
            <c:dLbl>
              <c:idx val="5"/>
              <c:layout>
                <c:manualLayout>
                  <c:x val="-0.11232624493366901"/>
                  <c:y val="3.6450657306298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BE-4E0F-80EF-6BB7C075324A}"/>
                </c:ext>
              </c:extLst>
            </c:dLbl>
            <c:dLbl>
              <c:idx val="6"/>
              <c:layout>
                <c:manualLayout>
                  <c:x val="-0.15939693252629139"/>
                  <c:y val="-1.16495474409698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BE-4E0F-80EF-6BB7C075324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5.3712563117969875E-2"/>
                  <c:y val="0.374172185430463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BE-4E0F-80EF-6BB7C075324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B Mitra"/>
                    <a:ea typeface="B Mitra"/>
                    <a:cs typeface="B Mitr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'[4]100-103j'!$D$147:$J$147</c:f>
              <c:strCache>
                <c:ptCount val="7"/>
                <c:pt idx="0">
                  <c:v>پیمانی</c:v>
                </c:pt>
                <c:pt idx="1">
                  <c:v>قراردادمعین مشخص</c:v>
                </c:pt>
                <c:pt idx="2">
                  <c:v>ساعتی</c:v>
                </c:pt>
                <c:pt idx="3">
                  <c:v>ثابت شركتي</c:v>
                </c:pt>
                <c:pt idx="4">
                  <c:v>روزمزد</c:v>
                </c:pt>
                <c:pt idx="5">
                  <c:v>رسمي</c:v>
                </c:pt>
                <c:pt idx="6">
                  <c:v>کارگری موقت</c:v>
                </c:pt>
              </c:strCache>
            </c:strRef>
          </c:cat>
          <c:val>
            <c:numRef>
              <c:f>'[4]100-103j'!$D$154:$J$154</c:f>
              <c:numCache>
                <c:formatCode>General</c:formatCode>
                <c:ptCount val="7"/>
                <c:pt idx="0">
                  <c:v>780</c:v>
                </c:pt>
                <c:pt idx="1">
                  <c:v>1077</c:v>
                </c:pt>
                <c:pt idx="2">
                  <c:v>25</c:v>
                </c:pt>
                <c:pt idx="3">
                  <c:v>557</c:v>
                </c:pt>
                <c:pt idx="4">
                  <c:v>744</c:v>
                </c:pt>
                <c:pt idx="5">
                  <c:v>3145</c:v>
                </c:pt>
                <c:pt idx="6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BE-4E0F-80EF-6BB7C0753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80"/>
                </a:solidFill>
                <a:latin typeface="B Nazanin"/>
                <a:ea typeface="B Nazanin"/>
                <a:cs typeface="B Nazanin"/>
              </a:defRPr>
            </a:pPr>
            <a:r>
              <a:rPr lang="fa-IR" sz="1600"/>
              <a:t>نمودار شماره 23-سهم كاركنان برحسب مقاطع تحصيلي در سال 1400 </a:t>
            </a:r>
          </a:p>
        </c:rich>
      </c:tx>
      <c:layout>
        <c:manualLayout>
          <c:xMode val="edge"/>
          <c:yMode val="edge"/>
          <c:x val="0.12907528327251774"/>
          <c:y val="3.1414841053177822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34791133036081"/>
          <c:y val="0.42822733696749443"/>
          <c:w val="0.58842778271686813"/>
          <c:h val="0.4532691009430784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E0-4063-962D-38E00E0C14F6}"/>
              </c:ext>
            </c:extLst>
          </c:dPt>
          <c:dPt>
            <c:idx val="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E0-4063-962D-38E00E0C14F6}"/>
              </c:ext>
            </c:extLst>
          </c:dPt>
          <c:dPt>
            <c:idx val="2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E0-4063-962D-38E00E0C14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E0-4063-962D-38E00E0C14F6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E0-4063-962D-38E00E0C14F6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E0-4063-962D-38E00E0C14F6}"/>
              </c:ext>
            </c:extLst>
          </c:dPt>
          <c:dLbls>
            <c:dLbl>
              <c:idx val="0"/>
              <c:layout>
                <c:manualLayout>
                  <c:x val="0.15075652940923359"/>
                  <c:y val="5.007742233050017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E0-4063-962D-38E00E0C14F6}"/>
                </c:ext>
              </c:extLst>
            </c:dLbl>
            <c:dLbl>
              <c:idx val="1"/>
              <c:layout>
                <c:manualLayout>
                  <c:x val="0.11101867389527119"/>
                  <c:y val="2.6042895265706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E0-4063-962D-38E00E0C14F6}"/>
                </c:ext>
              </c:extLst>
            </c:dLbl>
            <c:dLbl>
              <c:idx val="2"/>
              <c:layout>
                <c:manualLayout>
                  <c:x val="-4.9784217546577171E-2"/>
                  <c:y val="1.2015945705531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0-4063-962D-38E00E0C14F6}"/>
                </c:ext>
              </c:extLst>
            </c:dLbl>
            <c:dLbl>
              <c:idx val="3"/>
              <c:layout>
                <c:manualLayout>
                  <c:x val="-0.13484477862398347"/>
                  <c:y val="4.67938918723025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0-4063-962D-38E00E0C14F6}"/>
                </c:ext>
              </c:extLst>
            </c:dLbl>
            <c:dLbl>
              <c:idx val="4"/>
              <c:layout>
                <c:manualLayout>
                  <c:x val="-0.1499487973839336"/>
                  <c:y val="-2.1271044048364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0-4063-962D-38E00E0C14F6}"/>
                </c:ext>
              </c:extLst>
            </c:dLbl>
            <c:dLbl>
              <c:idx val="5"/>
              <c:layout>
                <c:manualLayout>
                  <c:x val="7.1749494427950561E-2"/>
                  <c:y val="-5.2179026784831772E-2"/>
                </c:manualLayout>
              </c:layout>
              <c:tx>
                <c:rich>
                  <a:bodyPr/>
                  <a:lstStyle/>
                  <a:p>
                    <a:r>
                      <a:rPr lang="fa-IR" sz="1400"/>
                      <a:t>پایان ابتدایی و کمتر</a:t>
                    </a:r>
                    <a:r>
                      <a:rPr lang="fa-IR" baseline="0"/>
                      <a:t>
0.5%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0E0-4063-962D-38E00E0C14F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9.1594875780237658E-2"/>
                  <c:y val="0.178147475026298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E0-4063-962D-38E00E0C14F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B Roya"/>
                    <a:ea typeface="B Roya"/>
                    <a:cs typeface="B Roy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'[4]100-103j'!$W$143:$AB$143</c:f>
              <c:strCache>
                <c:ptCount val="6"/>
                <c:pt idx="0">
                  <c:v>كارشناسي ارشدو بالاتر</c:v>
                </c:pt>
                <c:pt idx="1">
                  <c:v>كارشناسي</c:v>
                </c:pt>
                <c:pt idx="2">
                  <c:v>كارداني</c:v>
                </c:pt>
                <c:pt idx="3">
                  <c:v>ديپلم</c:v>
                </c:pt>
                <c:pt idx="4">
                  <c:v>سوم راهنمايي</c:v>
                </c:pt>
                <c:pt idx="5">
                  <c:v>پایان ابتدایی و کمتر</c:v>
                </c:pt>
              </c:strCache>
            </c:strRef>
          </c:cat>
          <c:val>
            <c:numRef>
              <c:f>'[4]100-103j'!$W$150:$AB$150</c:f>
              <c:numCache>
                <c:formatCode>General</c:formatCode>
                <c:ptCount val="6"/>
                <c:pt idx="0">
                  <c:v>1268</c:v>
                </c:pt>
                <c:pt idx="1">
                  <c:v>2605</c:v>
                </c:pt>
                <c:pt idx="2">
                  <c:v>1399</c:v>
                </c:pt>
                <c:pt idx="3">
                  <c:v>1788</c:v>
                </c:pt>
                <c:pt idx="4">
                  <c:v>124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E0-4063-962D-38E00E0C1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99"/>
                </a:solidFill>
                <a:latin typeface="B Mitra"/>
                <a:ea typeface="B Mitra"/>
                <a:cs typeface="B Mitra"/>
              </a:defRPr>
            </a:pPr>
            <a:r>
              <a:rPr lang="fa-IR"/>
              <a:t>نمودارشماره 26- تعدادكاركنان واحدهاي مختلف درسال1402</a:t>
            </a:r>
          </a:p>
        </c:rich>
      </c:tx>
      <c:layout>
        <c:manualLayout>
          <c:xMode val="edge"/>
          <c:yMode val="edge"/>
          <c:x val="0.23801346716644448"/>
          <c:y val="4.2056494039566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453670276775"/>
          <c:y val="0.12475354677581602"/>
          <c:w val="0.85258724428399524"/>
          <c:h val="0.73064830552568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'[4]100-103j'!$AA$95</c:f>
              <c:strCache>
                <c:ptCount val="1"/>
                <c:pt idx="0">
                  <c:v>رسمي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'[4]100-103j'!$Z$96:$Z$117</c:f>
              <c:strCache>
                <c:ptCount val="22"/>
                <c:pt idx="0">
                  <c:v>مركز</c:v>
                </c:pt>
                <c:pt idx="1">
                  <c:v>جنوب</c:v>
                </c:pt>
                <c:pt idx="2">
                  <c:v>لرستان</c:v>
                </c:pt>
                <c:pt idx="3">
                  <c:v>اراك</c:v>
                </c:pt>
                <c:pt idx="4">
                  <c:v>زاگرس</c:v>
                </c:pt>
                <c:pt idx="5">
                  <c:v>تهران</c:v>
                </c:pt>
                <c:pt idx="6">
                  <c:v>شمال</c:v>
                </c:pt>
                <c:pt idx="7">
                  <c:v>شمالشرق1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شمالشرق2</c:v>
                </c:pt>
                <c:pt idx="13">
                  <c:v>قم </c:v>
                </c:pt>
                <c:pt idx="14">
                  <c:v>یزد </c:v>
                </c:pt>
                <c:pt idx="15">
                  <c:v>هرمزگان </c:v>
                </c:pt>
                <c:pt idx="16">
                  <c:v>شرق</c:v>
                </c:pt>
                <c:pt idx="17">
                  <c:v>كرمان</c:v>
                </c:pt>
                <c:pt idx="18">
                  <c:v>فارس</c:v>
                </c:pt>
                <c:pt idx="19">
                  <c:v>جنوبشرق</c:v>
                </c:pt>
                <c:pt idx="20">
                  <c:v>غرب</c:v>
                </c:pt>
                <c:pt idx="21">
                  <c:v>شمال2</c:v>
                </c:pt>
              </c:strCache>
            </c:strRef>
          </c:cat>
          <c:val>
            <c:numRef>
              <c:f>'[4]100-103j'!$AA$96:$AA$117</c:f>
              <c:numCache>
                <c:formatCode>General</c:formatCode>
                <c:ptCount val="22"/>
                <c:pt idx="0">
                  <c:v>366</c:v>
                </c:pt>
                <c:pt idx="1">
                  <c:v>150</c:v>
                </c:pt>
                <c:pt idx="2">
                  <c:v>56</c:v>
                </c:pt>
                <c:pt idx="3">
                  <c:v>146</c:v>
                </c:pt>
                <c:pt idx="4">
                  <c:v>112</c:v>
                </c:pt>
                <c:pt idx="5">
                  <c:v>244</c:v>
                </c:pt>
                <c:pt idx="6">
                  <c:v>165</c:v>
                </c:pt>
                <c:pt idx="7">
                  <c:v>190</c:v>
                </c:pt>
                <c:pt idx="8">
                  <c:v>444</c:v>
                </c:pt>
                <c:pt idx="9">
                  <c:v>92</c:v>
                </c:pt>
                <c:pt idx="10">
                  <c:v>168</c:v>
                </c:pt>
                <c:pt idx="11">
                  <c:v>207</c:v>
                </c:pt>
                <c:pt idx="12">
                  <c:v>67</c:v>
                </c:pt>
                <c:pt idx="13">
                  <c:v>56</c:v>
                </c:pt>
                <c:pt idx="14">
                  <c:v>190</c:v>
                </c:pt>
                <c:pt idx="15">
                  <c:v>290</c:v>
                </c:pt>
                <c:pt idx="16">
                  <c:v>57</c:v>
                </c:pt>
                <c:pt idx="17">
                  <c:v>50</c:v>
                </c:pt>
                <c:pt idx="18">
                  <c:v>51</c:v>
                </c:pt>
                <c:pt idx="19">
                  <c:v>12</c:v>
                </c:pt>
                <c:pt idx="20">
                  <c:v>0</c:v>
                </c:pt>
                <c:pt idx="2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0-401D-997B-3BF0268DBE93}"/>
            </c:ext>
          </c:extLst>
        </c:ser>
        <c:ser>
          <c:idx val="1"/>
          <c:order val="1"/>
          <c:tx>
            <c:strRef>
              <c:f>'[4]100-103j'!$AB$95</c:f>
              <c:strCache>
                <c:ptCount val="1"/>
                <c:pt idx="0">
                  <c:v>غيررسمي</c:v>
                </c:pt>
              </c:strCache>
            </c:strRef>
          </c:tx>
          <c:spPr>
            <a:pattFill prst="pct80">
              <a:fgClr>
                <a:srgbClr val="669900"/>
              </a:fgClr>
              <a:bgClr>
                <a:schemeClr val="bg1"/>
              </a:bgClr>
            </a:pattFill>
            <a:ln w="12700">
              <a:solidFill>
                <a:srgbClr val="00B050"/>
              </a:solidFill>
              <a:prstDash val="solid"/>
            </a:ln>
          </c:spPr>
          <c:invertIfNegative val="0"/>
          <c:cat>
            <c:strRef>
              <c:f>'[4]100-103j'!$Z$96:$Z$117</c:f>
              <c:strCache>
                <c:ptCount val="22"/>
                <c:pt idx="0">
                  <c:v>مركز</c:v>
                </c:pt>
                <c:pt idx="1">
                  <c:v>جنوب</c:v>
                </c:pt>
                <c:pt idx="2">
                  <c:v>لرستان</c:v>
                </c:pt>
                <c:pt idx="3">
                  <c:v>اراك</c:v>
                </c:pt>
                <c:pt idx="4">
                  <c:v>زاگرس</c:v>
                </c:pt>
                <c:pt idx="5">
                  <c:v>تهران</c:v>
                </c:pt>
                <c:pt idx="6">
                  <c:v>شمال</c:v>
                </c:pt>
                <c:pt idx="7">
                  <c:v>شمالشرق1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شمالشرق2</c:v>
                </c:pt>
                <c:pt idx="13">
                  <c:v>قم </c:v>
                </c:pt>
                <c:pt idx="14">
                  <c:v>یزد </c:v>
                </c:pt>
                <c:pt idx="15">
                  <c:v>هرمزگان </c:v>
                </c:pt>
                <c:pt idx="16">
                  <c:v>شرق</c:v>
                </c:pt>
                <c:pt idx="17">
                  <c:v>كرمان</c:v>
                </c:pt>
                <c:pt idx="18">
                  <c:v>فارس</c:v>
                </c:pt>
                <c:pt idx="19">
                  <c:v>جنوبشرق</c:v>
                </c:pt>
                <c:pt idx="20">
                  <c:v>غرب</c:v>
                </c:pt>
                <c:pt idx="21">
                  <c:v>شمال2</c:v>
                </c:pt>
              </c:strCache>
            </c:strRef>
          </c:cat>
          <c:val>
            <c:numRef>
              <c:f>'[4]100-103j'!$AB$96:$AB$117</c:f>
              <c:numCache>
                <c:formatCode>General</c:formatCode>
                <c:ptCount val="22"/>
                <c:pt idx="0">
                  <c:v>1358</c:v>
                </c:pt>
                <c:pt idx="1">
                  <c:v>103</c:v>
                </c:pt>
                <c:pt idx="2">
                  <c:v>74</c:v>
                </c:pt>
                <c:pt idx="3">
                  <c:v>113</c:v>
                </c:pt>
                <c:pt idx="4">
                  <c:v>106</c:v>
                </c:pt>
                <c:pt idx="5">
                  <c:v>312</c:v>
                </c:pt>
                <c:pt idx="6">
                  <c:v>183</c:v>
                </c:pt>
                <c:pt idx="7">
                  <c:v>140</c:v>
                </c:pt>
                <c:pt idx="8">
                  <c:v>242</c:v>
                </c:pt>
                <c:pt idx="9">
                  <c:v>80</c:v>
                </c:pt>
                <c:pt idx="10">
                  <c:v>163</c:v>
                </c:pt>
                <c:pt idx="11">
                  <c:v>145</c:v>
                </c:pt>
                <c:pt idx="12">
                  <c:v>52</c:v>
                </c:pt>
                <c:pt idx="13">
                  <c:v>76</c:v>
                </c:pt>
                <c:pt idx="14">
                  <c:v>263</c:v>
                </c:pt>
                <c:pt idx="15">
                  <c:v>235</c:v>
                </c:pt>
                <c:pt idx="16">
                  <c:v>164</c:v>
                </c:pt>
                <c:pt idx="17">
                  <c:v>82</c:v>
                </c:pt>
                <c:pt idx="18">
                  <c:v>77</c:v>
                </c:pt>
                <c:pt idx="19">
                  <c:v>55</c:v>
                </c:pt>
                <c:pt idx="20">
                  <c:v>1</c:v>
                </c:pt>
                <c:pt idx="2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0-401D-997B-3BF0268DB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22594288"/>
        <c:axId val="-1722593200"/>
      </c:barChart>
      <c:catAx>
        <c:axId val="-172259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2259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2259320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333399"/>
                    </a:solidFill>
                    <a:latin typeface="B Mitra"/>
                    <a:ea typeface="B Mitra"/>
                    <a:cs typeface="B Mitra"/>
                  </a:defRPr>
                </a:pPr>
                <a:r>
                  <a:rPr lang="fa-IR"/>
                  <a:t>نفر</a:t>
                </a:r>
              </a:p>
            </c:rich>
          </c:tx>
          <c:layout>
            <c:manualLayout>
              <c:xMode val="edge"/>
              <c:yMode val="edge"/>
              <c:x val="1.3838748495788207E-2"/>
              <c:y val="0.1387387699885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-1722594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622947402332831"/>
          <c:y val="0.35001098430978067"/>
          <c:w val="0.13297706017794708"/>
          <c:h val="0.13206817209522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B Mitra"/>
              <a:ea typeface="B Mitra"/>
              <a:cs typeface="B Mitr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00" b="1" i="0" u="none" strike="noStrike" baseline="0">
                <a:solidFill>
                  <a:srgbClr val="333399"/>
                </a:solidFill>
                <a:latin typeface="B Mitra"/>
                <a:ea typeface="B Mitra"/>
                <a:cs typeface="B Mitra"/>
              </a:defRPr>
            </a:pPr>
            <a:r>
              <a:rPr lang="fa-IR"/>
              <a:t>نمودار شماره  27- تعدادكاركنان برحسب مقاطع تحصيلي و نوع خدمت درسال 1402</a:t>
            </a:r>
          </a:p>
        </c:rich>
      </c:tx>
      <c:layout>
        <c:manualLayout>
          <c:xMode val="edge"/>
          <c:yMode val="edge"/>
          <c:x val="0.1301991048587281"/>
          <c:y val="2.8255499242995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5732368896925"/>
          <c:y val="0.12128158813110501"/>
          <c:w val="0.85473176612417123"/>
          <c:h val="0.74124920353775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'[4]100-103j'!$V$148</c:f>
              <c:strCache>
                <c:ptCount val="1"/>
                <c:pt idx="0">
                  <c:v>رسمی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'[4]100-103j'!$W$143:$AB$143</c:f>
              <c:strCache>
                <c:ptCount val="6"/>
                <c:pt idx="0">
                  <c:v>كارشناسي ارشدو بالاتر</c:v>
                </c:pt>
                <c:pt idx="1">
                  <c:v>كارشناسي</c:v>
                </c:pt>
                <c:pt idx="2">
                  <c:v>كارداني</c:v>
                </c:pt>
                <c:pt idx="3">
                  <c:v>ديپلم</c:v>
                </c:pt>
                <c:pt idx="4">
                  <c:v>سوم راهنمايي</c:v>
                </c:pt>
                <c:pt idx="5">
                  <c:v>پایان ابتدایی و کمتر</c:v>
                </c:pt>
              </c:strCache>
            </c:strRef>
          </c:cat>
          <c:val>
            <c:numRef>
              <c:f>'[4]100-103j'!$W$148:$AB$148</c:f>
              <c:numCache>
                <c:formatCode>General</c:formatCode>
                <c:ptCount val="6"/>
                <c:pt idx="0">
                  <c:v>386</c:v>
                </c:pt>
                <c:pt idx="1">
                  <c:v>1122</c:v>
                </c:pt>
                <c:pt idx="2">
                  <c:v>647</c:v>
                </c:pt>
                <c:pt idx="3">
                  <c:v>916</c:v>
                </c:pt>
                <c:pt idx="4">
                  <c:v>68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318-802F-31ED2E40E7A6}"/>
            </c:ext>
          </c:extLst>
        </c:ser>
        <c:ser>
          <c:idx val="1"/>
          <c:order val="1"/>
          <c:tx>
            <c:strRef>
              <c:f>'[4]100-103j'!$V$149</c:f>
              <c:strCache>
                <c:ptCount val="1"/>
                <c:pt idx="0">
                  <c:v>غيررسمي</c:v>
                </c:pt>
              </c:strCache>
            </c:strRef>
          </c:tx>
          <c:spPr>
            <a:pattFill prst="pct80">
              <a:fgClr>
                <a:srgbClr val="6699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'[4]100-103j'!$W$143:$AB$143</c:f>
              <c:strCache>
                <c:ptCount val="6"/>
                <c:pt idx="0">
                  <c:v>كارشناسي ارشدو بالاتر</c:v>
                </c:pt>
                <c:pt idx="1">
                  <c:v>كارشناسي</c:v>
                </c:pt>
                <c:pt idx="2">
                  <c:v>كارداني</c:v>
                </c:pt>
                <c:pt idx="3">
                  <c:v>ديپلم</c:v>
                </c:pt>
                <c:pt idx="4">
                  <c:v>سوم راهنمايي</c:v>
                </c:pt>
                <c:pt idx="5">
                  <c:v>پایان ابتدایی و کمتر</c:v>
                </c:pt>
              </c:strCache>
            </c:strRef>
          </c:cat>
          <c:val>
            <c:numRef>
              <c:f>'[4]100-103j'!$W$149:$AB$149</c:f>
              <c:numCache>
                <c:formatCode>General</c:formatCode>
                <c:ptCount val="6"/>
                <c:pt idx="0">
                  <c:v>882</c:v>
                </c:pt>
                <c:pt idx="1">
                  <c:v>1483</c:v>
                </c:pt>
                <c:pt idx="2">
                  <c:v>752</c:v>
                </c:pt>
                <c:pt idx="3">
                  <c:v>872</c:v>
                </c:pt>
                <c:pt idx="4">
                  <c:v>56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0-4318-802F-31ED2E40E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22595376"/>
        <c:axId val="-1722589936"/>
      </c:barChart>
      <c:catAx>
        <c:axId val="-172259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2258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22589936"/>
        <c:scaling>
          <c:orientation val="minMax"/>
          <c:max val="2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333399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نفر</a:t>
                </a:r>
              </a:p>
            </c:rich>
          </c:tx>
          <c:layout>
            <c:manualLayout>
              <c:xMode val="edge"/>
              <c:yMode val="edge"/>
              <c:x val="1.0699168932997299E-2"/>
              <c:y val="0.13608754362274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-1722595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28450874020492"/>
          <c:y val="0.3204917314066254"/>
          <c:w val="0.13743655460788917"/>
          <c:h val="0.1253049938913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B Mitra"/>
              <a:ea typeface="B Mitra"/>
              <a:cs typeface="B Mitr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17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نمودار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شماره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100" b="1" i="0" u="none" strike="noStrike" baseline="0">
                <a:solidFill>
                  <a:srgbClr val="333399"/>
                </a:solidFill>
                <a:cs typeface="B Roya"/>
              </a:rPr>
              <a:t>28-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تعدادفارغ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التحصيل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مركز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آموزش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در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سالهاي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 1391-1400</a:t>
            </a:r>
          </a:p>
          <a:p>
            <a:pPr rtl="1">
              <a:defRPr sz="117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en-US" sz="1100" b="1" i="0" u="none" strike="noStrike" baseline="0">
              <a:solidFill>
                <a:srgbClr val="3333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17009349869604959"/>
          <c:y val="2.6718275384116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1358584701731"/>
          <c:y val="0.11235955056179775"/>
          <c:w val="0.86431390388072271"/>
          <c:h val="0.7219101123595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'107'!$B$22:$M$22</c:f>
              <c:strCache>
                <c:ptCount val="12"/>
                <c:pt idx="0">
                  <c:v>1391</c:v>
                </c:pt>
                <c:pt idx="1">
                  <c:v>1392</c:v>
                </c:pt>
                <c:pt idx="2">
                  <c:v>1393</c:v>
                </c:pt>
                <c:pt idx="3">
                  <c:v>1394</c:v>
                </c:pt>
                <c:pt idx="4">
                  <c:v>1395</c:v>
                </c:pt>
                <c:pt idx="5">
                  <c:v>1396</c:v>
                </c:pt>
                <c:pt idx="6">
                  <c:v>1397</c:v>
                </c:pt>
                <c:pt idx="7">
                  <c:v>1398</c:v>
                </c:pt>
                <c:pt idx="8">
                  <c:v>1399</c:v>
                </c:pt>
                <c:pt idx="9">
                  <c:v>1400</c:v>
                </c:pt>
                <c:pt idx="10">
                  <c:v>1401</c:v>
                </c:pt>
                <c:pt idx="11">
                  <c:v>1402</c:v>
                </c:pt>
              </c:strCache>
            </c:strRef>
          </c:tx>
          <c:spPr>
            <a:pattFill prst="trellis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'107'!$B$22:$M$22</c:f>
              <c:numCache>
                <c:formatCode>General</c:formatCode>
                <c:ptCount val="12"/>
                <c:pt idx="0">
                  <c:v>1391</c:v>
                </c:pt>
                <c:pt idx="1">
                  <c:v>1392</c:v>
                </c:pt>
                <c:pt idx="2">
                  <c:v>1393</c:v>
                </c:pt>
                <c:pt idx="3">
                  <c:v>1394</c:v>
                </c:pt>
                <c:pt idx="4">
                  <c:v>1395</c:v>
                </c:pt>
                <c:pt idx="5">
                  <c:v>1396</c:v>
                </c:pt>
                <c:pt idx="6">
                  <c:v>1397</c:v>
                </c:pt>
                <c:pt idx="7">
                  <c:v>1398</c:v>
                </c:pt>
                <c:pt idx="8">
                  <c:v>1399</c:v>
                </c:pt>
                <c:pt idx="9">
                  <c:v>1400</c:v>
                </c:pt>
                <c:pt idx="10">
                  <c:v>1401</c:v>
                </c:pt>
                <c:pt idx="11">
                  <c:v>1402</c:v>
                </c:pt>
              </c:numCache>
            </c:numRef>
          </c:cat>
          <c:val>
            <c:numRef>
              <c:f>'107'!$B$23:$M$23</c:f>
              <c:numCache>
                <c:formatCode>General</c:formatCode>
                <c:ptCount val="12"/>
                <c:pt idx="0">
                  <c:v>21184</c:v>
                </c:pt>
                <c:pt idx="1">
                  <c:v>28613</c:v>
                </c:pt>
                <c:pt idx="2">
                  <c:v>28354</c:v>
                </c:pt>
                <c:pt idx="3">
                  <c:v>37760</c:v>
                </c:pt>
                <c:pt idx="4">
                  <c:v>38054</c:v>
                </c:pt>
                <c:pt idx="5">
                  <c:v>32638</c:v>
                </c:pt>
                <c:pt idx="6">
                  <c:v>34355</c:v>
                </c:pt>
                <c:pt idx="7">
                  <c:v>48607</c:v>
                </c:pt>
                <c:pt idx="8">
                  <c:v>95472</c:v>
                </c:pt>
                <c:pt idx="9">
                  <c:v>50690</c:v>
                </c:pt>
                <c:pt idx="10">
                  <c:v>51156</c:v>
                </c:pt>
                <c:pt idx="11">
                  <c:v>61302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7-4BC8-9E57-FE211D151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3483040"/>
        <c:axId val="133479232"/>
      </c:barChart>
      <c:catAx>
        <c:axId val="1334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347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79232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1334830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853450523840958E-3"/>
                <c:y val="0.10948509245333098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75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Mitra"/>
                    </a:defRPr>
                  </a:pPr>
                  <a:r>
                    <a:rPr lang="fa-IR"/>
                    <a:t>هزارنفر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 rtl="1">
              <a:defRPr sz="117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نمودار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شماره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35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 -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انواع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تعميرات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انجام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شده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واگن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های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مسافري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در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سالها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ی1402-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1401</a:t>
            </a:r>
            <a:endParaRPr lang="en-US" sz="1200" b="1" i="0" u="none" strike="noStrike" baseline="0">
              <a:solidFill>
                <a:srgbClr val="3333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16061278394083467"/>
          <c:y val="3.4942612371473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4246603810915"/>
          <c:y val="0.13033441838447063"/>
          <c:w val="0.83196362082646647"/>
          <c:h val="0.74946042635759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'129'!$C$18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('129'!$A$19:$B$20,'129'!$A$21:$B$21)</c:f>
              <c:strCache>
                <c:ptCount val="3"/>
                <c:pt idx="0">
                  <c:v>تعميرات اساسي</c:v>
                </c:pt>
                <c:pt idx="1">
                  <c:v>بازديد ساليانه</c:v>
                </c:pt>
                <c:pt idx="2">
                  <c:v>تعمیرات بازسازی</c:v>
                </c:pt>
              </c:strCache>
            </c:strRef>
          </c:cat>
          <c:val>
            <c:numRef>
              <c:f>('129'!$C$19:$C$20,'129'!$C$21)</c:f>
              <c:numCache>
                <c:formatCode>General</c:formatCode>
                <c:ptCount val="3"/>
                <c:pt idx="0">
                  <c:v>0</c:v>
                </c:pt>
                <c:pt idx="1">
                  <c:v>1269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4-4D1D-A727-1275FB7E6D60}"/>
            </c:ext>
          </c:extLst>
        </c:ser>
        <c:ser>
          <c:idx val="1"/>
          <c:order val="1"/>
          <c:tx>
            <c:strRef>
              <c:f>'129'!$D$18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('129'!$A$19:$B$20,'129'!$A$21:$B$21)</c:f>
              <c:strCache>
                <c:ptCount val="3"/>
                <c:pt idx="0">
                  <c:v>تعميرات اساسي</c:v>
                </c:pt>
                <c:pt idx="1">
                  <c:v>بازديد ساليانه</c:v>
                </c:pt>
                <c:pt idx="2">
                  <c:v>تعمیرات بازسازی</c:v>
                </c:pt>
              </c:strCache>
            </c:strRef>
          </c:cat>
          <c:val>
            <c:numRef>
              <c:f>('129'!$D$19:$D$20,'129'!$D$21)</c:f>
              <c:numCache>
                <c:formatCode>General</c:formatCode>
                <c:ptCount val="3"/>
                <c:pt idx="0">
                  <c:v>0</c:v>
                </c:pt>
                <c:pt idx="1">
                  <c:v>1285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4-4D1D-A727-1275FB7E6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43266576"/>
        <c:axId val="1443256240"/>
      </c:barChart>
      <c:catAx>
        <c:axId val="144326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325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256240"/>
        <c:scaling>
          <c:orientation val="minMax"/>
          <c:max val="18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144326657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9479308351114"/>
          <c:y val="0.32301031677970948"/>
          <c:w val="0.12981652253848619"/>
          <c:h val="0.183396827871763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B Nazanin"/>
              <a:ea typeface="B Nazanin"/>
              <a:cs typeface="B Nazanin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00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34 - ميزان اعتبار و پرداختهای</a:t>
            </a:r>
            <a:r>
              <a:rPr lang="fa-IR" sz="1000" baseline="0">
                <a:solidFill>
                  <a:srgbClr val="000099"/>
                </a:solidFill>
                <a:cs typeface="B Nazanin" panose="00000400000000000000" pitchFamily="2" charset="-78"/>
              </a:rPr>
              <a:t> </a:t>
            </a:r>
            <a:r>
              <a:rPr lang="fa-IR" sz="1000">
                <a:solidFill>
                  <a:srgbClr val="000099"/>
                </a:solidFill>
                <a:cs typeface="B Nazanin" panose="00000400000000000000" pitchFamily="2" charset="-78"/>
              </a:rPr>
              <a:t>طرحهاي تملک داراییهای سرمایه ایی در ده سال اخير</a:t>
            </a:r>
          </a:p>
        </c:rich>
      </c:tx>
      <c:layout>
        <c:manualLayout>
          <c:xMode val="edge"/>
          <c:yMode val="edge"/>
          <c:x val="0.11192555476020043"/>
          <c:y val="1.8302801435534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9961227443534E-2"/>
          <c:y val="0.12610786554906442"/>
          <c:w val="0.87482837832454752"/>
          <c:h val="0.69926396297237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'96 (3)'!$D$22</c:f>
              <c:strCache>
                <c:ptCount val="1"/>
                <c:pt idx="0">
                  <c:v>اعتبار ابلاغی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'96 (3)'!$B$23:$C$32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cat>
          <c:val>
            <c:numRef>
              <c:f>'96 (3)'!$D$23:$D$32</c:f>
              <c:numCache>
                <c:formatCode>#,##0</c:formatCode>
                <c:ptCount val="10"/>
                <c:pt idx="0">
                  <c:v>5537233</c:v>
                </c:pt>
                <c:pt idx="1">
                  <c:v>7679000</c:v>
                </c:pt>
                <c:pt idx="2">
                  <c:v>7408390</c:v>
                </c:pt>
                <c:pt idx="3">
                  <c:v>22932445</c:v>
                </c:pt>
                <c:pt idx="4">
                  <c:v>16879474</c:v>
                </c:pt>
                <c:pt idx="5">
                  <c:v>9881895</c:v>
                </c:pt>
                <c:pt idx="6">
                  <c:v>12243825</c:v>
                </c:pt>
                <c:pt idx="7">
                  <c:v>19075000</c:v>
                </c:pt>
                <c:pt idx="8">
                  <c:v>29199034</c:v>
                </c:pt>
                <c:pt idx="9">
                  <c:v>41490300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3-45FF-BF8E-F7F08BED7283}"/>
            </c:ext>
          </c:extLst>
        </c:ser>
        <c:ser>
          <c:idx val="1"/>
          <c:order val="1"/>
          <c:tx>
            <c:v>عملکرد</c:v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'96 (3)'!$B$23:$C$32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cat>
          <c:val>
            <c:numRef>
              <c:f>'96 (3)'!$F$23:$F$32</c:f>
              <c:numCache>
                <c:formatCode>#,##0</c:formatCode>
                <c:ptCount val="10"/>
                <c:pt idx="0">
                  <c:v>11876040</c:v>
                </c:pt>
                <c:pt idx="1">
                  <c:v>19350462</c:v>
                </c:pt>
                <c:pt idx="2">
                  <c:v>21628239</c:v>
                </c:pt>
                <c:pt idx="3">
                  <c:v>28828004</c:v>
                </c:pt>
                <c:pt idx="4">
                  <c:v>18127210</c:v>
                </c:pt>
                <c:pt idx="5">
                  <c:v>15395885</c:v>
                </c:pt>
                <c:pt idx="6">
                  <c:v>18024170</c:v>
                </c:pt>
                <c:pt idx="7">
                  <c:v>33529598</c:v>
                </c:pt>
                <c:pt idx="8">
                  <c:v>31634715</c:v>
                </c:pt>
                <c:pt idx="9">
                  <c:v>61903539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3-45FF-BF8E-F7F08BED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50"/>
        <c:axId val="432936480"/>
        <c:axId val="432940832"/>
      </c:barChart>
      <c:catAx>
        <c:axId val="4329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>
                <a:alpha val="98000"/>
              </a:srgbClr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43294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940832"/>
        <c:scaling>
          <c:orientation val="minMax"/>
          <c:max val="40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4329364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2871124160327413E-3"/>
                <c:y val="0.2636166850111478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000099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>
                      <a:solidFill>
                        <a:srgbClr val="000099"/>
                      </a:solidFill>
                    </a:rPr>
                    <a:t>هزار ميليارد ريال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45202188709461"/>
          <c:y val="0.18106793102475094"/>
          <c:w val="0.15270543105188772"/>
          <c:h val="0.13640165946998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B Roya"/>
              <a:ea typeface="B Roya"/>
              <a:cs typeface="B Roy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C00000"/>
  </sheetPr>
  <sheetViews>
    <sheetView zoomScale="75" workbookViewId="0"/>
  </sheetViews>
  <pageMargins left="0.70866141732283472" right="0.70866141732283472" top="0.74803149606299213" bottom="0.74803149606299213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4</xdr:col>
      <xdr:colOff>590550</xdr:colOff>
      <xdr:row>6</xdr:row>
      <xdr:rowOff>266700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</xdr:row>
      <xdr:rowOff>28575</xdr:rowOff>
    </xdr:from>
    <xdr:to>
      <xdr:col>9</xdr:col>
      <xdr:colOff>552450</xdr:colOff>
      <xdr:row>6</xdr:row>
      <xdr:rowOff>276225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</xdr:colOff>
      <xdr:row>7</xdr:row>
      <xdr:rowOff>19050</xdr:rowOff>
    </xdr:from>
    <xdr:to>
      <xdr:col>9</xdr:col>
      <xdr:colOff>561975</xdr:colOff>
      <xdr:row>12</xdr:row>
      <xdr:rowOff>285750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17691</xdr:colOff>
      <xdr:row>19</xdr:row>
      <xdr:rowOff>14968</xdr:rowOff>
    </xdr:from>
    <xdr:to>
      <xdr:col>9</xdr:col>
      <xdr:colOff>579666</xdr:colOff>
      <xdr:row>24</xdr:row>
      <xdr:rowOff>281668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</xdr:colOff>
      <xdr:row>25</xdr:row>
      <xdr:rowOff>0</xdr:rowOff>
    </xdr:from>
    <xdr:to>
      <xdr:col>9</xdr:col>
      <xdr:colOff>571500</xdr:colOff>
      <xdr:row>30</xdr:row>
      <xdr:rowOff>266700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295275</xdr:rowOff>
    </xdr:from>
    <xdr:to>
      <xdr:col>4</xdr:col>
      <xdr:colOff>581025</xdr:colOff>
      <xdr:row>30</xdr:row>
      <xdr:rowOff>276225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44903</xdr:colOff>
      <xdr:row>13</xdr:row>
      <xdr:rowOff>48986</xdr:rowOff>
    </xdr:from>
    <xdr:to>
      <xdr:col>4</xdr:col>
      <xdr:colOff>568778</xdr:colOff>
      <xdr:row>18</xdr:row>
      <xdr:rowOff>277586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19</xdr:row>
      <xdr:rowOff>19050</xdr:rowOff>
    </xdr:from>
    <xdr:to>
      <xdr:col>4</xdr:col>
      <xdr:colOff>590550</xdr:colOff>
      <xdr:row>24</xdr:row>
      <xdr:rowOff>257175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50346</xdr:colOff>
      <xdr:row>7</xdr:row>
      <xdr:rowOff>35378</xdr:rowOff>
    </xdr:from>
    <xdr:to>
      <xdr:col>4</xdr:col>
      <xdr:colOff>583746</xdr:colOff>
      <xdr:row>12</xdr:row>
      <xdr:rowOff>302078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8164</xdr:colOff>
      <xdr:row>13</xdr:row>
      <xdr:rowOff>8164</xdr:rowOff>
    </xdr:from>
    <xdr:to>
      <xdr:col>9</xdr:col>
      <xdr:colOff>579664</xdr:colOff>
      <xdr:row>18</xdr:row>
      <xdr:rowOff>255814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4</xdr:col>
      <xdr:colOff>828675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0</xdr:row>
      <xdr:rowOff>47625</xdr:rowOff>
    </xdr:from>
    <xdr:to>
      <xdr:col>9</xdr:col>
      <xdr:colOff>866775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0</xdr:row>
      <xdr:rowOff>47625</xdr:rowOff>
    </xdr:from>
    <xdr:to>
      <xdr:col>14</xdr:col>
      <xdr:colOff>800100</xdr:colOff>
      <xdr:row>19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38100</xdr:colOff>
      <xdr:row>0</xdr:row>
      <xdr:rowOff>66675</xdr:rowOff>
    </xdr:from>
    <xdr:to>
      <xdr:col>19</xdr:col>
      <xdr:colOff>828675</xdr:colOff>
      <xdr:row>19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19050</xdr:colOff>
      <xdr:row>0</xdr:row>
      <xdr:rowOff>47625</xdr:rowOff>
    </xdr:from>
    <xdr:to>
      <xdr:col>24</xdr:col>
      <xdr:colOff>819150</xdr:colOff>
      <xdr:row>18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28575</xdr:colOff>
      <xdr:row>0</xdr:row>
      <xdr:rowOff>57150</xdr:rowOff>
    </xdr:from>
    <xdr:to>
      <xdr:col>29</xdr:col>
      <xdr:colOff>790575</xdr:colOff>
      <xdr:row>18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0</xdr:row>
      <xdr:rowOff>38100</xdr:rowOff>
    </xdr:from>
    <xdr:to>
      <xdr:col>4</xdr:col>
      <xdr:colOff>828675</xdr:colOff>
      <xdr:row>19</xdr:row>
      <xdr:rowOff>9525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28575</xdr:colOff>
      <xdr:row>0</xdr:row>
      <xdr:rowOff>47625</xdr:rowOff>
    </xdr:from>
    <xdr:to>
      <xdr:col>9</xdr:col>
      <xdr:colOff>866775</xdr:colOff>
      <xdr:row>19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47625</xdr:colOff>
      <xdr:row>0</xdr:row>
      <xdr:rowOff>47625</xdr:rowOff>
    </xdr:from>
    <xdr:to>
      <xdr:col>14</xdr:col>
      <xdr:colOff>800100</xdr:colOff>
      <xdr:row>19</xdr:row>
      <xdr:rowOff>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0</xdr:row>
      <xdr:rowOff>66675</xdr:rowOff>
    </xdr:from>
    <xdr:to>
      <xdr:col>19</xdr:col>
      <xdr:colOff>828675</xdr:colOff>
      <xdr:row>19</xdr:row>
      <xdr:rowOff>19050</xdr:rowOff>
    </xdr:to>
    <xdr:graphicFrame macro="">
      <xdr:nvGraphicFramePr>
        <xdr:cNvPr id="11" name="Chart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0</xdr:row>
      <xdr:rowOff>47625</xdr:rowOff>
    </xdr:from>
    <xdr:to>
      <xdr:col>24</xdr:col>
      <xdr:colOff>819150</xdr:colOff>
      <xdr:row>18</xdr:row>
      <xdr:rowOff>114300</xdr:rowOff>
    </xdr:to>
    <xdr:graphicFrame macro="">
      <xdr:nvGraphicFramePr>
        <xdr:cNvPr id="12" name="Chart 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28575</xdr:colOff>
      <xdr:row>0</xdr:row>
      <xdr:rowOff>57150</xdr:rowOff>
    </xdr:from>
    <xdr:to>
      <xdr:col>29</xdr:col>
      <xdr:colOff>790575</xdr:colOff>
      <xdr:row>18</xdr:row>
      <xdr:rowOff>104775</xdr:rowOff>
    </xdr:to>
    <xdr:graphicFrame macro="">
      <xdr:nvGraphicFramePr>
        <xdr:cNvPr id="13" name="Chart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4</xdr:col>
      <xdr:colOff>885825</xdr:colOff>
      <xdr:row>15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4</xdr:col>
      <xdr:colOff>895350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2016" cy="60716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4</xdr:col>
      <xdr:colOff>876300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4</xdr:col>
      <xdr:colOff>866775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9</xdr:col>
      <xdr:colOff>485775</xdr:colOff>
      <xdr:row>12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57150</xdr:rowOff>
    </xdr:from>
    <xdr:to>
      <xdr:col>9</xdr:col>
      <xdr:colOff>476250</xdr:colOff>
      <xdr:row>26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167121</xdr:rowOff>
    </xdr:from>
    <xdr:to>
      <xdr:col>9</xdr:col>
      <xdr:colOff>447675</xdr:colOff>
      <xdr:row>39</xdr:row>
      <xdr:rowOff>138546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0.53709</cdr:x>
      <cdr:y>0.72016</cdr:y>
    </cdr:from>
    <cdr:to>
      <cdr:x>0.53018</cdr:x>
      <cdr:y>0.7344</cdr:y>
    </cdr:to>
    <cdr:sp macro="" textlink="">
      <cdr:nvSpPr>
        <cdr:cNvPr id="79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3725" y="1533052"/>
          <a:ext cx="193725" cy="209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4</xdr:col>
      <xdr:colOff>895350</xdr:colOff>
      <xdr:row>16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90055</xdr:rowOff>
    </xdr:from>
    <xdr:to>
      <xdr:col>4</xdr:col>
      <xdr:colOff>952500</xdr:colOff>
      <xdr:row>14</xdr:row>
      <xdr:rowOff>175780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11</xdr:col>
      <xdr:colOff>495300</xdr:colOff>
      <xdr:row>18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19</xdr:row>
      <xdr:rowOff>114300</xdr:rowOff>
    </xdr:from>
    <xdr:to>
      <xdr:col>11</xdr:col>
      <xdr:colOff>485775</xdr:colOff>
      <xdr:row>38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0</xdr:row>
      <xdr:rowOff>75079</xdr:rowOff>
    </xdr:from>
    <xdr:to>
      <xdr:col>6</xdr:col>
      <xdr:colOff>1064561</xdr:colOff>
      <xdr:row>18</xdr:row>
      <xdr:rowOff>189379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9</xdr:col>
      <xdr:colOff>485775</xdr:colOff>
      <xdr:row>16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17</xdr:row>
      <xdr:rowOff>28575</xdr:rowOff>
    </xdr:from>
    <xdr:to>
      <xdr:col>9</xdr:col>
      <xdr:colOff>485775</xdr:colOff>
      <xdr:row>34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9</xdr:col>
      <xdr:colOff>485775</xdr:colOff>
      <xdr:row>16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28575</xdr:rowOff>
    </xdr:from>
    <xdr:to>
      <xdr:col>9</xdr:col>
      <xdr:colOff>466725</xdr:colOff>
      <xdr:row>34</xdr:row>
      <xdr:rowOff>155863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</xdr:row>
      <xdr:rowOff>0</xdr:rowOff>
    </xdr:from>
    <xdr:to>
      <xdr:col>8</xdr:col>
      <xdr:colOff>1</xdr:colOff>
      <xdr:row>1</xdr:row>
      <xdr:rowOff>628799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10239765524" y="238125"/>
          <a:ext cx="8570596" cy="628799"/>
        </a:xfrm>
        <a:prstGeom prst="rect">
          <a:avLst/>
        </a:prstGeom>
        <a:solidFill>
          <a:srgbClr val="BDD85F">
            <a:alpha val="50000"/>
          </a:srgbClr>
        </a:solidFill>
        <a:ln w="2540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45720" tIns="82296" rIns="45720" bIns="82296" anchor="ctr" upright="1"/>
        <a:lstStyle/>
        <a:p>
          <a:pPr algn="ctr" rtl="1">
            <a:defRPr sz="1000"/>
          </a:pPr>
          <a:r>
            <a:rPr lang="fa-IR" sz="1600" b="0" i="0" strike="noStrike">
              <a:solidFill>
                <a:srgbClr val="000000"/>
              </a:solidFill>
              <a:cs typeface="B Titr"/>
            </a:rPr>
            <a:t>تعداد ايستگاههاي علائمي و غير علائمي  به تفكيك نوع در سال 1402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180975</xdr:rowOff>
    </xdr:from>
    <xdr:to>
      <xdr:col>5</xdr:col>
      <xdr:colOff>1921</xdr:colOff>
      <xdr:row>2</xdr:row>
      <xdr:rowOff>1912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10317668579" y="180975"/>
          <a:ext cx="5697871" cy="878212"/>
        </a:xfrm>
        <a:prstGeom prst="rect">
          <a:avLst/>
        </a:prstGeom>
        <a:solidFill>
          <a:srgbClr val="BDD85F">
            <a:alpha val="50000"/>
          </a:srgbClr>
        </a:solidFill>
        <a:ln w="2540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45720" tIns="82296" rIns="45720" bIns="82296" anchor="ctr" upright="1"/>
        <a:lstStyle/>
        <a:p>
          <a:pPr algn="ctr" rtl="1">
            <a:defRPr sz="1000"/>
          </a:pPr>
          <a:r>
            <a:rPr lang="fa-IR" sz="1600" b="0" i="0" strike="noStrike">
              <a:solidFill>
                <a:srgbClr val="000000"/>
              </a:solidFill>
              <a:cs typeface="B Titr"/>
            </a:rPr>
            <a:t>جدول شماره 72 - تجهيزات ارتباطي به تفكيك خطوط انتقال تا پايان سال1402</a:t>
          </a:r>
          <a:r>
            <a:rPr lang="fa-IR" sz="1600" b="0" i="0" strike="noStrike" baseline="0">
              <a:solidFill>
                <a:srgbClr val="000000"/>
              </a:solidFill>
              <a:cs typeface="B Titr"/>
            </a:rPr>
            <a:t>  </a:t>
          </a:r>
          <a:endParaRPr lang="fa-IR" sz="1800" b="0" i="0" strike="noStrike">
            <a:solidFill>
              <a:srgbClr val="000000"/>
            </a:solidFill>
            <a:cs typeface="B Titr"/>
          </a:endParaRPr>
        </a:p>
        <a:p>
          <a:pPr algn="ctr" rtl="1">
            <a:defRPr sz="1000"/>
          </a:pPr>
          <a:r>
            <a:rPr lang="fa-IR" sz="1200" b="0" i="0" strike="noStrike">
              <a:solidFill>
                <a:srgbClr val="000000"/>
              </a:solidFill>
              <a:cs typeface="B Titr"/>
            </a:rPr>
            <a:t>واحد  : كيلومتر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219075</xdr:rowOff>
    </xdr:from>
    <xdr:to>
      <xdr:col>11</xdr:col>
      <xdr:colOff>342900</xdr:colOff>
      <xdr:row>28</xdr:row>
      <xdr:rowOff>100436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76200</xdr:rowOff>
    </xdr:from>
    <xdr:to>
      <xdr:col>11</xdr:col>
      <xdr:colOff>295275</xdr:colOff>
      <xdr:row>45</xdr:row>
      <xdr:rowOff>129011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absoluteAnchor>
    <xdr:pos x="104775" y="66675"/>
    <xdr:ext cx="7810500" cy="33242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10</xdr:col>
      <xdr:colOff>495300</xdr:colOff>
      <xdr:row>17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19</xdr:row>
      <xdr:rowOff>152400</xdr:rowOff>
    </xdr:from>
    <xdr:to>
      <xdr:col>10</xdr:col>
      <xdr:colOff>485775</xdr:colOff>
      <xdr:row>36</xdr:row>
      <xdr:rowOff>219075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10</xdr:col>
      <xdr:colOff>457200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243923</xdr:colOff>
      <xdr:row>0</xdr:row>
      <xdr:rowOff>21535</xdr:rowOff>
    </xdr:from>
    <xdr:to>
      <xdr:col>4</xdr:col>
      <xdr:colOff>1082123</xdr:colOff>
      <xdr:row>14</xdr:row>
      <xdr:rowOff>107260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47626</xdr:rowOff>
    </xdr:from>
    <xdr:to>
      <xdr:col>7</xdr:col>
      <xdr:colOff>790575</xdr:colOff>
      <xdr:row>17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pGen\AutoTemps\&#1580;&#1606;&#1608;&#15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0;&#1605;&#1575;&#1585;\1401\&#1587;&#1575;&#1604;&#1606;&#1575;&#1605;&#1607;%20401\&#1587;&#1575;&#1604;&#1606;&#1575;&#1605;&#1607;%20401\401%20&#1582;&#1575;&#1606;&#1605;%20&#1605;&#1581;&#1605;&#1583;&#1740;\&#1601;&#1575;&#1740;&#1604;&#1607;&#1575;&#1740;%20&#1587;&#1575;&#1604;&#1606;&#1575;&#1605;&#1607;%20&#1570;&#1605;&#1575;&#1585;%20&#1585;&#1740;&#1604;&#1740;%201401\&#1576;&#1582;&#1588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bfile01\Department%20of%20Abbasabad\Users\goharnejad_f\Desktop\&#1705;&#1578;&#1575;&#1576;%20&#1587;&#1575;&#1604;%2013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0;&#1605;&#1575;&#1585;\1400\&#1587;&#1575;&#1604;&#1606;&#1575;&#1605;&#1607;%201400\&#1576;&#1582;&#1588;%20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87;&#1575;&#1604;&#1606;&#1575;&#1605;&#1607;%20&#1570;&#1605;&#1575;&#1585;&#1740;\&#1740;&#1575;&#1583;&#1583;&#1575;&#1588;&#1578;-&#1587;&#1585;&#1576;&#1575;&#1585;-&#1606;&#1607;&#1575;&#1740;&#1740;_D1403_02_23-T08_06_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خط  وابنيه "/>
      <sheetName val="خطوط فرعی احداث شده"/>
      <sheetName val="آمار خطوط فرعي "/>
      <sheetName val="سوزنها "/>
      <sheetName val="شيب وفراز "/>
      <sheetName val="Sheet5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مانوری</v>
          </cell>
        </row>
        <row r="6">
          <cell r="C6" t="str">
            <v>صنعتی تجاری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"/>
      <sheetName val="20"/>
      <sheetName val="22"/>
      <sheetName val="24"/>
      <sheetName val="27"/>
      <sheetName val="30"/>
      <sheetName val="31"/>
      <sheetName val="32"/>
      <sheetName val="33"/>
      <sheetName val="39"/>
      <sheetName val="40"/>
      <sheetName val="41"/>
      <sheetName val="42"/>
      <sheetName val="44"/>
      <sheetName val="46"/>
      <sheetName val="47"/>
      <sheetName val="48"/>
      <sheetName val="49"/>
      <sheetName val="50"/>
      <sheetName val="52"/>
      <sheetName val="54"/>
      <sheetName val="55"/>
      <sheetName val="56 "/>
      <sheetName val="اهم دلایل باری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109"/>
      <sheetName val="Sheet1"/>
    </sheetNames>
    <sheetDataSet>
      <sheetData sheetId="0">
        <row r="2">
          <cell r="E2">
            <v>1392</v>
          </cell>
          <cell r="F2">
            <v>1393</v>
          </cell>
          <cell r="G2">
            <v>1394</v>
          </cell>
          <cell r="H2">
            <v>1395</v>
          </cell>
          <cell r="I2">
            <v>1396</v>
          </cell>
          <cell r="J2">
            <v>1397</v>
          </cell>
          <cell r="K2">
            <v>1398</v>
          </cell>
          <cell r="L2">
            <v>1399</v>
          </cell>
          <cell r="M2">
            <v>1400</v>
          </cell>
          <cell r="N2">
            <v>1401</v>
          </cell>
        </row>
        <row r="14">
          <cell r="E14">
            <v>32693.262999999999</v>
          </cell>
          <cell r="F14">
            <v>34924</v>
          </cell>
          <cell r="G14">
            <v>35647</v>
          </cell>
          <cell r="H14">
            <v>40282.400999999998</v>
          </cell>
          <cell r="I14">
            <v>46766</v>
          </cell>
          <cell r="J14">
            <v>50478.47</v>
          </cell>
          <cell r="K14">
            <v>46976.127999999997</v>
          </cell>
          <cell r="L14">
            <v>50564.248</v>
          </cell>
          <cell r="M14">
            <v>46912.447</v>
          </cell>
          <cell r="N14">
            <v>44438.862999999998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6">
          <cell r="W16">
            <v>79192818.350728989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"/>
      <sheetName val="29"/>
      <sheetName val="33"/>
      <sheetName val="34"/>
      <sheetName val="35"/>
      <sheetName val="41"/>
      <sheetName val="42"/>
      <sheetName val="44"/>
      <sheetName val="46"/>
      <sheetName val="48"/>
      <sheetName val="50"/>
      <sheetName val="52"/>
      <sheetName val="54"/>
      <sheetName val="58"/>
    </sheetNames>
    <sheetDataSet>
      <sheetData sheetId="0"/>
      <sheetData sheetId="1"/>
      <sheetData sheetId="2"/>
      <sheetData sheetId="3"/>
      <sheetData sheetId="4">
        <row r="25">
          <cell r="A25" t="str">
            <v>بندرامام</v>
          </cell>
          <cell r="B25">
            <v>23877</v>
          </cell>
          <cell r="C25">
            <v>29634</v>
          </cell>
          <cell r="F25" t="str">
            <v>بندرامام</v>
          </cell>
          <cell r="G25">
            <v>22091</v>
          </cell>
          <cell r="H25">
            <v>35817</v>
          </cell>
          <cell r="K25" t="str">
            <v>بندرامام</v>
          </cell>
          <cell r="L25">
            <v>1318659</v>
          </cell>
          <cell r="M25">
            <v>1645879</v>
          </cell>
          <cell r="P25" t="str">
            <v>بندرامام</v>
          </cell>
          <cell r="Q25">
            <v>1378812</v>
          </cell>
          <cell r="R25">
            <v>2290321</v>
          </cell>
          <cell r="U25" t="str">
            <v>بندرامام</v>
          </cell>
          <cell r="V25">
            <v>1009453331</v>
          </cell>
          <cell r="W25">
            <v>1181220255</v>
          </cell>
          <cell r="Z25" t="str">
            <v>بندرامام</v>
          </cell>
          <cell r="AA25">
            <v>329465825</v>
          </cell>
          <cell r="AB25">
            <v>461165789</v>
          </cell>
        </row>
        <row r="26">
          <cell r="A26" t="str">
            <v>سربندر</v>
          </cell>
          <cell r="B26">
            <v>27</v>
          </cell>
          <cell r="C26">
            <v>0</v>
          </cell>
          <cell r="F26" t="str">
            <v>ماهشهر</v>
          </cell>
          <cell r="G26">
            <v>21013</v>
          </cell>
          <cell r="H26">
            <v>18115</v>
          </cell>
          <cell r="K26" t="str">
            <v>سربندر</v>
          </cell>
          <cell r="L26">
            <v>1418</v>
          </cell>
          <cell r="M26">
            <v>0</v>
          </cell>
          <cell r="P26" t="str">
            <v>ماهشهر</v>
          </cell>
          <cell r="Q26">
            <v>1158270</v>
          </cell>
          <cell r="R26">
            <v>998617</v>
          </cell>
          <cell r="U26" t="str">
            <v>سربندر</v>
          </cell>
          <cell r="V26">
            <v>1291241</v>
          </cell>
          <cell r="W26">
            <v>0</v>
          </cell>
          <cell r="Z26" t="str">
            <v>ماهشهر</v>
          </cell>
          <cell r="AA26">
            <v>796317496</v>
          </cell>
          <cell r="AB26">
            <v>687871994</v>
          </cell>
        </row>
        <row r="27">
          <cell r="A27" t="str">
            <v>اینچه برون</v>
          </cell>
          <cell r="B27">
            <v>337</v>
          </cell>
          <cell r="C27">
            <v>902</v>
          </cell>
          <cell r="F27" t="str">
            <v>اینچه برون</v>
          </cell>
          <cell r="G27">
            <v>318</v>
          </cell>
          <cell r="H27">
            <v>269</v>
          </cell>
          <cell r="K27" t="str">
            <v>اینچه برون</v>
          </cell>
          <cell r="L27">
            <v>22097</v>
          </cell>
          <cell r="M27">
            <v>58312</v>
          </cell>
          <cell r="P27" t="str">
            <v>اینچه برون</v>
          </cell>
          <cell r="Q27">
            <v>21275</v>
          </cell>
          <cell r="R27">
            <v>17479</v>
          </cell>
          <cell r="U27" t="str">
            <v>اینچه برون</v>
          </cell>
          <cell r="V27">
            <v>8335366</v>
          </cell>
          <cell r="W27">
            <v>16052101</v>
          </cell>
          <cell r="Z27" t="str">
            <v>اینچه برون</v>
          </cell>
          <cell r="AA27">
            <v>3191250</v>
          </cell>
          <cell r="AB27">
            <v>2621850</v>
          </cell>
        </row>
        <row r="28">
          <cell r="A28" t="str">
            <v>بندرعباس</v>
          </cell>
          <cell r="B28">
            <v>12311</v>
          </cell>
          <cell r="C28">
            <v>16269</v>
          </cell>
          <cell r="F28" t="str">
            <v>بندرعباس</v>
          </cell>
          <cell r="G28">
            <v>125735</v>
          </cell>
          <cell r="H28">
            <v>130087</v>
          </cell>
          <cell r="K28" t="str">
            <v>بندرعباس</v>
          </cell>
          <cell r="L28">
            <v>692686</v>
          </cell>
          <cell r="M28">
            <v>882145</v>
          </cell>
          <cell r="P28" t="str">
            <v>بندرعباس</v>
          </cell>
          <cell r="Q28">
            <v>7926245</v>
          </cell>
          <cell r="R28">
            <v>8245053</v>
          </cell>
          <cell r="U28" t="str">
            <v>بندرعباس</v>
          </cell>
          <cell r="V28">
            <v>896582647</v>
          </cell>
          <cell r="W28">
            <v>1109398926</v>
          </cell>
          <cell r="Z28" t="str">
            <v>بندرعباس</v>
          </cell>
          <cell r="AA28">
            <v>6857984243</v>
          </cell>
          <cell r="AB28">
            <v>7748074102</v>
          </cell>
        </row>
        <row r="29">
          <cell r="A29" t="str">
            <v>سرخس</v>
          </cell>
          <cell r="B29">
            <v>5355</v>
          </cell>
          <cell r="C29">
            <v>4743</v>
          </cell>
          <cell r="F29" t="str">
            <v>سرخس</v>
          </cell>
          <cell r="G29">
            <v>9080</v>
          </cell>
          <cell r="H29">
            <v>6681</v>
          </cell>
          <cell r="K29" t="str">
            <v>سرخس</v>
          </cell>
          <cell r="L29">
            <v>320583</v>
          </cell>
          <cell r="M29">
            <v>280484</v>
          </cell>
          <cell r="P29" t="str">
            <v>سرخس</v>
          </cell>
          <cell r="Q29">
            <v>538682</v>
          </cell>
          <cell r="R29">
            <v>386473</v>
          </cell>
          <cell r="U29" t="str">
            <v>سرخس</v>
          </cell>
          <cell r="V29">
            <v>69905678</v>
          </cell>
          <cell r="W29">
            <v>63580935</v>
          </cell>
          <cell r="Z29" t="str">
            <v>سرخس</v>
          </cell>
          <cell r="AA29">
            <v>222847772</v>
          </cell>
          <cell r="AB29">
            <v>176056734</v>
          </cell>
        </row>
        <row r="30">
          <cell r="A30" t="str">
            <v>رازي</v>
          </cell>
          <cell r="B30">
            <v>2419</v>
          </cell>
          <cell r="C30">
            <v>4101</v>
          </cell>
          <cell r="F30" t="str">
            <v>رازي</v>
          </cell>
          <cell r="G30">
            <v>1325</v>
          </cell>
          <cell r="H30">
            <v>662</v>
          </cell>
          <cell r="K30" t="str">
            <v>رازي</v>
          </cell>
          <cell r="L30">
            <v>97296</v>
          </cell>
          <cell r="M30">
            <v>178967</v>
          </cell>
          <cell r="P30" t="str">
            <v>رازي</v>
          </cell>
          <cell r="Q30">
            <v>54790</v>
          </cell>
          <cell r="R30">
            <v>24889</v>
          </cell>
          <cell r="U30" t="str">
            <v>رازي</v>
          </cell>
          <cell r="V30">
            <v>67674544</v>
          </cell>
          <cell r="W30">
            <v>123941037</v>
          </cell>
          <cell r="Z30" t="str">
            <v>رازي</v>
          </cell>
          <cell r="AA30">
            <v>14587548</v>
          </cell>
          <cell r="AB30">
            <v>5627666</v>
          </cell>
        </row>
        <row r="31">
          <cell r="A31" t="str">
            <v>میرجاوه</v>
          </cell>
          <cell r="B31">
            <v>336</v>
          </cell>
          <cell r="C31">
            <v>392</v>
          </cell>
          <cell r="F31" t="str">
            <v>ميرجاوه</v>
          </cell>
          <cell r="G31">
            <v>718</v>
          </cell>
          <cell r="H31">
            <v>1442</v>
          </cell>
          <cell r="K31" t="str">
            <v>میرجاوه</v>
          </cell>
          <cell r="L31">
            <v>7998</v>
          </cell>
          <cell r="M31">
            <v>9175</v>
          </cell>
          <cell r="P31" t="str">
            <v>ميرجاوه</v>
          </cell>
          <cell r="Q31">
            <v>17207</v>
          </cell>
          <cell r="R31">
            <v>33216</v>
          </cell>
          <cell r="U31" t="str">
            <v>میرجاوه</v>
          </cell>
          <cell r="V31">
            <v>1199700</v>
          </cell>
          <cell r="W31">
            <v>1376250</v>
          </cell>
          <cell r="Z31" t="str">
            <v>ميرجاوه</v>
          </cell>
          <cell r="AA31">
            <v>2581050</v>
          </cell>
          <cell r="AB31">
            <v>4982400</v>
          </cell>
        </row>
        <row r="32">
          <cell r="A32" t="str">
            <v>بندرامیرآباد</v>
          </cell>
          <cell r="B32">
            <v>197</v>
          </cell>
          <cell r="C32">
            <v>307</v>
          </cell>
          <cell r="F32" t="str">
            <v>بندرامیرآباد</v>
          </cell>
          <cell r="G32">
            <v>0</v>
          </cell>
          <cell r="H32">
            <v>0</v>
          </cell>
          <cell r="K32" t="str">
            <v>بندر امیرآباد</v>
          </cell>
          <cell r="L32">
            <v>10697</v>
          </cell>
          <cell r="M32">
            <v>16506</v>
          </cell>
          <cell r="P32" t="str">
            <v>بندراميرآباد</v>
          </cell>
          <cell r="Q32">
            <v>0</v>
          </cell>
          <cell r="R32">
            <v>0</v>
          </cell>
          <cell r="U32" t="str">
            <v>بندراميرآباد</v>
          </cell>
          <cell r="V32">
            <v>7811012</v>
          </cell>
          <cell r="W32">
            <v>7879420</v>
          </cell>
          <cell r="Z32" t="str">
            <v>بندراميرآباد</v>
          </cell>
          <cell r="AA32">
            <v>0</v>
          </cell>
          <cell r="AB32">
            <v>0</v>
          </cell>
        </row>
        <row r="33">
          <cell r="A33" t="str">
            <v>خرمشهر</v>
          </cell>
          <cell r="B33">
            <v>0</v>
          </cell>
          <cell r="C33">
            <v>0</v>
          </cell>
          <cell r="F33" t="str">
            <v>خرمشهر</v>
          </cell>
          <cell r="G33">
            <v>67</v>
          </cell>
          <cell r="H33">
            <v>0</v>
          </cell>
          <cell r="K33" t="str">
            <v>خرمشهر</v>
          </cell>
          <cell r="L33">
            <v>0</v>
          </cell>
          <cell r="M33">
            <v>0</v>
          </cell>
          <cell r="P33" t="str">
            <v>خرمشهر</v>
          </cell>
          <cell r="Q33">
            <v>2976</v>
          </cell>
          <cell r="U33" t="str">
            <v>خرمشهر</v>
          </cell>
          <cell r="V33">
            <v>0</v>
          </cell>
          <cell r="W33">
            <v>0</v>
          </cell>
          <cell r="Z33" t="str">
            <v>خرمشهر</v>
          </cell>
          <cell r="AA33">
            <v>4494125</v>
          </cell>
          <cell r="AB3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اهم دلایل مسافریp77"/>
      <sheetName val="80j"/>
      <sheetName val="81j"/>
      <sheetName val="82j"/>
      <sheetName val="83j"/>
      <sheetName val="84j"/>
      <sheetName val="85j"/>
      <sheetName val="86j"/>
      <sheetName val="87j"/>
      <sheetName val="88j"/>
      <sheetName val="882j"/>
      <sheetName val="89j"/>
      <sheetName val="90j"/>
      <sheetName val="91j"/>
      <sheetName val="92j"/>
      <sheetName val="93j"/>
      <sheetName val="94j"/>
      <sheetName val="95j (2)"/>
      <sheetName val="96j"/>
      <sheetName val="97j"/>
      <sheetName val="98j"/>
      <sheetName val="100-103j"/>
      <sheetName val="104j"/>
      <sheetName val="105j"/>
      <sheetName val="106j"/>
      <sheetName val="107j"/>
      <sheetName val="130j"/>
      <sheetName val="131j"/>
      <sheetName val="132"/>
      <sheetName val="132j"/>
      <sheetName val="133j"/>
      <sheetName val="134j"/>
      <sheetName val="135j"/>
      <sheetName val="136j"/>
      <sheetName val="137j"/>
      <sheetName val="138j"/>
      <sheetName val="95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1">
          <cell r="AD81" t="str">
            <v>0-10</v>
          </cell>
          <cell r="AE81">
            <v>977</v>
          </cell>
        </row>
        <row r="82">
          <cell r="AD82" t="str">
            <v>10-20</v>
          </cell>
          <cell r="AE82">
            <v>2565</v>
          </cell>
        </row>
        <row r="83">
          <cell r="AD83" t="str">
            <v>20-30</v>
          </cell>
          <cell r="AE83">
            <v>3401</v>
          </cell>
        </row>
        <row r="84">
          <cell r="AD84" t="str">
            <v>30به بالا</v>
          </cell>
          <cell r="AE84">
            <v>264</v>
          </cell>
        </row>
        <row r="95">
          <cell r="AA95" t="str">
            <v>رسمي</v>
          </cell>
          <cell r="AB95" t="str">
            <v>غيررسمي</v>
          </cell>
        </row>
        <row r="96">
          <cell r="Z96" t="str">
            <v>مركز</v>
          </cell>
          <cell r="AA96">
            <v>366</v>
          </cell>
          <cell r="AB96">
            <v>1358</v>
          </cell>
        </row>
        <row r="97">
          <cell r="Z97" t="str">
            <v>جنوب</v>
          </cell>
          <cell r="AA97">
            <v>150</v>
          </cell>
          <cell r="AB97">
            <v>103</v>
          </cell>
        </row>
        <row r="98">
          <cell r="Z98" t="str">
            <v>لرستان</v>
          </cell>
          <cell r="AA98">
            <v>56</v>
          </cell>
          <cell r="AB98">
            <v>74</v>
          </cell>
        </row>
        <row r="99">
          <cell r="Z99" t="str">
            <v>اراك</v>
          </cell>
          <cell r="AA99">
            <v>146</v>
          </cell>
          <cell r="AB99">
            <v>113</v>
          </cell>
        </row>
        <row r="100">
          <cell r="Z100" t="str">
            <v>زاگرس</v>
          </cell>
          <cell r="AA100">
            <v>112</v>
          </cell>
          <cell r="AB100">
            <v>106</v>
          </cell>
        </row>
        <row r="101">
          <cell r="Z101" t="str">
            <v>تهران</v>
          </cell>
          <cell r="AA101">
            <v>244</v>
          </cell>
          <cell r="AB101">
            <v>312</v>
          </cell>
        </row>
        <row r="102">
          <cell r="Z102" t="str">
            <v>شمال</v>
          </cell>
          <cell r="AA102">
            <v>165</v>
          </cell>
          <cell r="AB102">
            <v>183</v>
          </cell>
        </row>
        <row r="103">
          <cell r="Z103" t="str">
            <v>شمالشرق1</v>
          </cell>
          <cell r="AA103">
            <v>190</v>
          </cell>
          <cell r="AB103">
            <v>140</v>
          </cell>
        </row>
        <row r="104">
          <cell r="Z104" t="str">
            <v>خراسان</v>
          </cell>
          <cell r="AA104">
            <v>444</v>
          </cell>
          <cell r="AB104">
            <v>242</v>
          </cell>
        </row>
        <row r="105">
          <cell r="Z105" t="str">
            <v>شمالغرب</v>
          </cell>
          <cell r="AA105">
            <v>92</v>
          </cell>
          <cell r="AB105">
            <v>80</v>
          </cell>
        </row>
        <row r="106">
          <cell r="Z106" t="str">
            <v>آذربايجان</v>
          </cell>
          <cell r="AA106">
            <v>168</v>
          </cell>
          <cell r="AB106">
            <v>163</v>
          </cell>
        </row>
        <row r="107">
          <cell r="Z107" t="str">
            <v>اصفهان</v>
          </cell>
          <cell r="AA107">
            <v>207</v>
          </cell>
          <cell r="AB107">
            <v>145</v>
          </cell>
        </row>
        <row r="108">
          <cell r="Z108" t="str">
            <v>شمالشرق2</v>
          </cell>
          <cell r="AA108">
            <v>67</v>
          </cell>
          <cell r="AB108">
            <v>52</v>
          </cell>
        </row>
        <row r="109">
          <cell r="Z109" t="str">
            <v xml:space="preserve">قم </v>
          </cell>
          <cell r="AA109">
            <v>56</v>
          </cell>
          <cell r="AB109">
            <v>76</v>
          </cell>
        </row>
        <row r="110">
          <cell r="Z110" t="str">
            <v xml:space="preserve">یزد </v>
          </cell>
          <cell r="AA110">
            <v>190</v>
          </cell>
          <cell r="AB110">
            <v>263</v>
          </cell>
        </row>
        <row r="111">
          <cell r="Z111" t="str">
            <v xml:space="preserve">هرمزگان </v>
          </cell>
          <cell r="AA111">
            <v>290</v>
          </cell>
          <cell r="AB111">
            <v>235</v>
          </cell>
        </row>
        <row r="112">
          <cell r="Z112" t="str">
            <v>شرق</v>
          </cell>
          <cell r="AA112">
            <v>57</v>
          </cell>
          <cell r="AB112">
            <v>164</v>
          </cell>
        </row>
        <row r="113">
          <cell r="Z113" t="str">
            <v>كرمان</v>
          </cell>
          <cell r="AA113">
            <v>50</v>
          </cell>
          <cell r="AB113">
            <v>82</v>
          </cell>
        </row>
        <row r="114">
          <cell r="Z114" t="str">
            <v>فارس</v>
          </cell>
          <cell r="AA114">
            <v>51</v>
          </cell>
          <cell r="AB114">
            <v>77</v>
          </cell>
        </row>
        <row r="115">
          <cell r="Z115" t="str">
            <v>جنوبشرق</v>
          </cell>
          <cell r="AA115">
            <v>12</v>
          </cell>
          <cell r="AB115">
            <v>55</v>
          </cell>
        </row>
        <row r="116">
          <cell r="Z116" t="str">
            <v>غرب</v>
          </cell>
          <cell r="AA116">
            <v>0</v>
          </cell>
          <cell r="AB116">
            <v>1</v>
          </cell>
        </row>
        <row r="117">
          <cell r="Z117" t="str">
            <v>شمال2</v>
          </cell>
          <cell r="AA117">
            <v>32</v>
          </cell>
          <cell r="AB117">
            <v>38</v>
          </cell>
        </row>
        <row r="143">
          <cell r="W143" t="str">
            <v>كارشناسي ارشدو بالاتر</v>
          </cell>
          <cell r="X143" t="str">
            <v>كارشناسي</v>
          </cell>
          <cell r="Y143" t="str">
            <v>كارداني</v>
          </cell>
          <cell r="Z143" t="str">
            <v>ديپلم</v>
          </cell>
          <cell r="AA143" t="str">
            <v>سوم راهنمايي</v>
          </cell>
          <cell r="AB143" t="str">
            <v>پایان ابتدایی و کمتر</v>
          </cell>
        </row>
        <row r="147">
          <cell r="D147" t="str">
            <v>پیمانی</v>
          </cell>
          <cell r="E147" t="str">
            <v>قراردادمعین مشخص</v>
          </cell>
          <cell r="F147" t="str">
            <v>ساعتی</v>
          </cell>
          <cell r="G147" t="str">
            <v>ثابت شركتي</v>
          </cell>
          <cell r="H147" t="str">
            <v>روزمزد</v>
          </cell>
          <cell r="I147" t="str">
            <v>رسمي</v>
          </cell>
          <cell r="J147" t="str">
            <v>کارگری موقت</v>
          </cell>
        </row>
        <row r="148">
          <cell r="V148" t="str">
            <v>رسمی</v>
          </cell>
          <cell r="W148">
            <v>386</v>
          </cell>
          <cell r="X148">
            <v>1122</v>
          </cell>
          <cell r="Y148">
            <v>647</v>
          </cell>
          <cell r="Z148">
            <v>916</v>
          </cell>
          <cell r="AA148">
            <v>68</v>
          </cell>
          <cell r="AB148">
            <v>6</v>
          </cell>
        </row>
        <row r="149">
          <cell r="V149" t="str">
            <v>غيررسمي</v>
          </cell>
          <cell r="W149">
            <v>882</v>
          </cell>
          <cell r="X149">
            <v>1483</v>
          </cell>
          <cell r="Y149">
            <v>752</v>
          </cell>
          <cell r="Z149">
            <v>872</v>
          </cell>
          <cell r="AA149">
            <v>56</v>
          </cell>
          <cell r="AB149">
            <v>17</v>
          </cell>
        </row>
        <row r="150">
          <cell r="W150">
            <v>1268</v>
          </cell>
          <cell r="X150">
            <v>2605</v>
          </cell>
          <cell r="Y150">
            <v>1399</v>
          </cell>
          <cell r="Z150">
            <v>1788</v>
          </cell>
          <cell r="AA150">
            <v>124</v>
          </cell>
          <cell r="AB150">
            <v>23</v>
          </cell>
        </row>
        <row r="154">
          <cell r="D154">
            <v>780</v>
          </cell>
          <cell r="E154">
            <v>1077</v>
          </cell>
          <cell r="F154">
            <v>25</v>
          </cell>
          <cell r="G154">
            <v>557</v>
          </cell>
          <cell r="H154">
            <v>744</v>
          </cell>
          <cell r="I154">
            <v>3145</v>
          </cell>
          <cell r="J154">
            <v>879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 refreshError="1">
        <row r="23">
          <cell r="G23">
            <v>529360280275</v>
          </cell>
        </row>
        <row r="68">
          <cell r="D68">
            <v>12497502352735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8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1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H30"/>
  <sheetViews>
    <sheetView rightToLeft="1" topLeftCell="A5" zoomScale="81" zoomScaleNormal="81" workbookViewId="0">
      <selection activeCell="H1" sqref="H1:N28"/>
    </sheetView>
  </sheetViews>
  <sheetFormatPr defaultColWidth="8" defaultRowHeight="15.75"/>
  <cols>
    <col min="1" max="1" width="5" style="1" customWidth="1"/>
    <col min="2" max="2" width="27.125" style="1" customWidth="1"/>
    <col min="3" max="3" width="12.375" style="1" customWidth="1"/>
    <col min="4" max="4" width="12.25" style="1" customWidth="1"/>
    <col min="5" max="12" width="11.375" style="1" customWidth="1"/>
    <col min="13" max="13" width="15.125" style="1" customWidth="1"/>
    <col min="14" max="14" width="13.875" style="1" customWidth="1"/>
    <col min="15" max="15" width="18.125" style="1" customWidth="1"/>
    <col min="16" max="16" width="8" style="1" customWidth="1"/>
    <col min="17" max="18" width="15.625" style="1" customWidth="1"/>
    <col min="19" max="19" width="8" style="1" customWidth="1"/>
    <col min="20" max="20" width="8.125" style="1" bestFit="1" customWidth="1"/>
    <col min="21" max="16384" width="8" style="1"/>
  </cols>
  <sheetData>
    <row r="1" spans="1:34" ht="42" customHeight="1" thickBot="1">
      <c r="A1" s="2836" t="s">
        <v>0</v>
      </c>
      <c r="B1" s="2836"/>
      <c r="C1" s="2836"/>
      <c r="D1" s="2836"/>
      <c r="E1" s="2836"/>
      <c r="F1" s="2836"/>
      <c r="G1" s="2836"/>
      <c r="H1" s="2837" t="s">
        <v>814</v>
      </c>
      <c r="I1" s="2837"/>
      <c r="J1" s="2837"/>
      <c r="K1" s="2837"/>
      <c r="L1" s="2837"/>
      <c r="M1" s="2837"/>
      <c r="N1" s="2837"/>
    </row>
    <row r="2" spans="1:34" ht="40.5" customHeight="1" thickBot="1">
      <c r="A2" s="2820" t="s">
        <v>1</v>
      </c>
      <c r="B2" s="2821"/>
      <c r="C2" s="2822"/>
      <c r="D2" s="2567" t="s">
        <v>2</v>
      </c>
      <c r="E2" s="2534">
        <v>1393</v>
      </c>
      <c r="F2" s="2566">
        <v>1394</v>
      </c>
      <c r="G2" s="2534">
        <v>1395</v>
      </c>
      <c r="H2" s="2534">
        <v>1396</v>
      </c>
      <c r="I2" s="2534">
        <v>1397</v>
      </c>
      <c r="J2" s="2565">
        <v>1398</v>
      </c>
      <c r="K2" s="3">
        <v>1399</v>
      </c>
      <c r="L2" s="3">
        <v>1400</v>
      </c>
      <c r="M2" s="2">
        <v>1401</v>
      </c>
      <c r="N2" s="2534">
        <v>1402</v>
      </c>
    </row>
    <row r="3" spans="1:34" ht="22.5" customHeight="1">
      <c r="A3" s="2823" t="s">
        <v>3</v>
      </c>
      <c r="B3" s="2824"/>
      <c r="C3" s="2825"/>
      <c r="D3" s="2557" t="s">
        <v>4</v>
      </c>
      <c r="E3" s="419">
        <v>10376</v>
      </c>
      <c r="F3" s="2551">
        <v>10459</v>
      </c>
      <c r="G3" s="2551">
        <v>10475</v>
      </c>
      <c r="H3" s="2541">
        <v>11061</v>
      </c>
      <c r="I3" s="2541">
        <v>11461</v>
      </c>
      <c r="J3" s="411">
        <v>11659</v>
      </c>
      <c r="K3" s="411">
        <v>11728</v>
      </c>
      <c r="L3" s="411">
        <v>11798</v>
      </c>
      <c r="M3" s="2543">
        <v>11928.5</v>
      </c>
      <c r="N3" s="2535">
        <v>12303</v>
      </c>
    </row>
    <row r="4" spans="1:34" ht="22.5" customHeight="1">
      <c r="A4" s="2826" t="s">
        <v>5</v>
      </c>
      <c r="B4" s="2827"/>
      <c r="C4" s="2828"/>
      <c r="D4" s="2558" t="s">
        <v>6</v>
      </c>
      <c r="E4" s="91">
        <v>9502</v>
      </c>
      <c r="F4" s="2549">
        <v>9216</v>
      </c>
      <c r="G4" s="2549">
        <v>9022</v>
      </c>
      <c r="H4" s="2542">
        <v>8812</v>
      </c>
      <c r="I4" s="2542">
        <v>8403</v>
      </c>
      <c r="J4" s="414">
        <v>7958</v>
      </c>
      <c r="K4" s="414">
        <v>7598</v>
      </c>
      <c r="L4" s="414">
        <v>7207</v>
      </c>
      <c r="M4" s="2544">
        <v>6809</v>
      </c>
      <c r="N4" s="414">
        <v>6592</v>
      </c>
    </row>
    <row r="5" spans="1:34" ht="23.25" customHeight="1">
      <c r="A5" s="2829" t="s">
        <v>7</v>
      </c>
      <c r="B5" s="2830"/>
      <c r="C5" s="2830"/>
      <c r="D5" s="2558" t="s">
        <v>6</v>
      </c>
      <c r="E5" s="91" t="s">
        <v>8</v>
      </c>
      <c r="F5" s="2549" t="s">
        <v>8</v>
      </c>
      <c r="G5" s="2549">
        <v>4251</v>
      </c>
      <c r="H5" s="2549">
        <v>7786</v>
      </c>
      <c r="I5" s="2542">
        <v>10803</v>
      </c>
      <c r="J5" s="414">
        <v>11533</v>
      </c>
      <c r="K5" s="414">
        <v>14312</v>
      </c>
      <c r="L5" s="414">
        <v>14616</v>
      </c>
      <c r="M5" s="2544">
        <v>15373</v>
      </c>
      <c r="N5" s="414">
        <v>15807</v>
      </c>
    </row>
    <row r="6" spans="1:34" ht="22.5" customHeight="1">
      <c r="A6" s="2817" t="s">
        <v>9</v>
      </c>
      <c r="B6" s="2818"/>
      <c r="C6" s="2819"/>
      <c r="D6" s="2559" t="s">
        <v>10</v>
      </c>
      <c r="E6" s="1878">
        <v>21234</v>
      </c>
      <c r="F6" s="2555">
        <v>21651</v>
      </c>
      <c r="G6" s="2555">
        <v>22678</v>
      </c>
      <c r="H6" s="2532">
        <v>23146</v>
      </c>
      <c r="I6" s="2532">
        <v>24310</v>
      </c>
      <c r="J6" s="415">
        <v>24394</v>
      </c>
      <c r="K6" s="415">
        <v>24249</v>
      </c>
      <c r="L6" s="415">
        <v>26309</v>
      </c>
      <c r="M6" s="2545">
        <v>27685</v>
      </c>
      <c r="N6" s="2536">
        <v>27341</v>
      </c>
      <c r="O6" s="650" t="s">
        <v>813</v>
      </c>
    </row>
    <row r="7" spans="1:34" ht="22.5" customHeight="1">
      <c r="A7" s="2817" t="s">
        <v>812</v>
      </c>
      <c r="B7" s="2818"/>
      <c r="C7" s="2819"/>
      <c r="D7" s="2559" t="s">
        <v>10</v>
      </c>
      <c r="E7" s="1878">
        <v>22715</v>
      </c>
      <c r="F7" s="2555">
        <v>22803</v>
      </c>
      <c r="G7" s="2555">
        <v>24089</v>
      </c>
      <c r="H7" s="2532">
        <v>24546</v>
      </c>
      <c r="I7" s="2532">
        <v>25398</v>
      </c>
      <c r="J7" s="415">
        <v>26110</v>
      </c>
      <c r="K7" s="415">
        <v>26976</v>
      </c>
      <c r="L7" s="415">
        <v>28002</v>
      </c>
      <c r="M7" s="2545">
        <v>29925</v>
      </c>
      <c r="N7" s="415">
        <v>30891</v>
      </c>
    </row>
    <row r="8" spans="1:34" ht="22.5" customHeight="1">
      <c r="A8" s="2817" t="s">
        <v>11</v>
      </c>
      <c r="B8" s="2818"/>
      <c r="C8" s="2819"/>
      <c r="D8" s="2559" t="s">
        <v>10</v>
      </c>
      <c r="E8" s="1878">
        <v>1460</v>
      </c>
      <c r="F8" s="2555">
        <v>1430</v>
      </c>
      <c r="G8" s="2555">
        <v>1502</v>
      </c>
      <c r="H8" s="2532">
        <v>1185.8330000000001</v>
      </c>
      <c r="I8" s="2532">
        <v>1275</v>
      </c>
      <c r="J8" s="415">
        <v>1363</v>
      </c>
      <c r="K8" s="415">
        <v>1226</v>
      </c>
      <c r="L8" s="415">
        <v>1335</v>
      </c>
      <c r="M8" s="2545">
        <v>1341</v>
      </c>
      <c r="N8" s="415">
        <v>1411</v>
      </c>
    </row>
    <row r="9" spans="1:34" ht="22.5" customHeight="1" thickBot="1">
      <c r="A9" s="2817" t="s">
        <v>12</v>
      </c>
      <c r="B9" s="2818"/>
      <c r="C9" s="2819"/>
      <c r="D9" s="2559" t="s">
        <v>10</v>
      </c>
      <c r="E9" s="1878">
        <v>1704</v>
      </c>
      <c r="F9" s="2555">
        <v>1665</v>
      </c>
      <c r="G9" s="2555">
        <v>1810</v>
      </c>
      <c r="H9" s="2532">
        <v>1449.62</v>
      </c>
      <c r="I9" s="2532">
        <v>1550</v>
      </c>
      <c r="J9" s="415">
        <v>1653</v>
      </c>
      <c r="K9" s="415">
        <v>1432</v>
      </c>
      <c r="L9" s="415">
        <v>1536</v>
      </c>
      <c r="M9" s="2545">
        <v>1506</v>
      </c>
      <c r="N9" s="415">
        <v>1560</v>
      </c>
    </row>
    <row r="10" spans="1:34" ht="22.5" customHeight="1" thickBot="1">
      <c r="A10" s="1877"/>
      <c r="B10" s="2834" t="s">
        <v>13</v>
      </c>
      <c r="C10" s="2834"/>
      <c r="D10" s="2560" t="s">
        <v>10</v>
      </c>
      <c r="E10" s="2533">
        <v>480</v>
      </c>
      <c r="F10" s="2548">
        <v>518</v>
      </c>
      <c r="G10" s="2548">
        <v>550</v>
      </c>
      <c r="H10" s="2548">
        <v>569</v>
      </c>
      <c r="I10" s="2548">
        <v>566</v>
      </c>
      <c r="J10" s="2537">
        <v>573</v>
      </c>
      <c r="K10" s="2547">
        <v>543</v>
      </c>
      <c r="L10" s="2547">
        <v>523.14166666666665</v>
      </c>
      <c r="M10" s="2546">
        <v>525.58000000000004</v>
      </c>
      <c r="N10" s="2537">
        <v>522.98</v>
      </c>
      <c r="O10" s="9"/>
      <c r="P10" s="9"/>
      <c r="Q10" s="9"/>
      <c r="R10" s="9"/>
      <c r="S10" s="9"/>
      <c r="T10" s="9"/>
      <c r="U10" s="9"/>
      <c r="V10" s="9"/>
      <c r="W10" s="9"/>
      <c r="X10" s="10"/>
      <c r="Y10" s="10"/>
      <c r="Z10" s="10"/>
      <c r="AA10" s="10"/>
      <c r="AB10" s="10"/>
      <c r="AC10" s="9"/>
      <c r="AD10" s="9"/>
      <c r="AE10" s="9"/>
      <c r="AF10" s="9"/>
      <c r="AG10" s="9"/>
      <c r="AH10" s="9"/>
    </row>
    <row r="11" spans="1:34" ht="22.5" customHeight="1">
      <c r="A11" s="2823" t="s">
        <v>14</v>
      </c>
      <c r="B11" s="2824"/>
      <c r="C11" s="2825"/>
      <c r="D11" s="2557" t="s">
        <v>15</v>
      </c>
      <c r="E11" s="419">
        <v>24802.383999999998</v>
      </c>
      <c r="F11" s="2551">
        <v>24452.602999999999</v>
      </c>
      <c r="G11" s="2551">
        <v>23041.531999999999</v>
      </c>
      <c r="H11" s="2541">
        <v>24480</v>
      </c>
      <c r="I11" s="2541">
        <v>28093.526000000002</v>
      </c>
      <c r="J11" s="411">
        <v>28598.612000000001</v>
      </c>
      <c r="K11" s="410">
        <v>11103.168</v>
      </c>
      <c r="L11" s="410">
        <v>20732.585999999999</v>
      </c>
      <c r="M11" s="420">
        <v>29665</v>
      </c>
      <c r="N11" s="411">
        <v>31784.127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34" ht="22.5" customHeight="1">
      <c r="A12" s="2826" t="s">
        <v>16</v>
      </c>
      <c r="B12" s="2827"/>
      <c r="C12" s="2828"/>
      <c r="D12" s="2558" t="s">
        <v>17</v>
      </c>
      <c r="E12" s="91">
        <v>16272.111999999999</v>
      </c>
      <c r="F12" s="2549">
        <v>14937.81523</v>
      </c>
      <c r="G12" s="2549">
        <v>12982.049070999999</v>
      </c>
      <c r="H12" s="2542">
        <v>13272</v>
      </c>
      <c r="I12" s="2542">
        <v>15239.3252989999</v>
      </c>
      <c r="J12" s="414">
        <v>14889.87851</v>
      </c>
      <c r="K12" s="413">
        <v>5183.448249</v>
      </c>
      <c r="L12" s="413">
        <v>11231.377629999966</v>
      </c>
      <c r="M12" s="412">
        <v>15906</v>
      </c>
      <c r="N12" s="414">
        <v>16594.068393000001</v>
      </c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34" ht="22.5" customHeight="1">
      <c r="A13" s="2826" t="s">
        <v>18</v>
      </c>
      <c r="B13" s="2827"/>
      <c r="C13" s="2828"/>
      <c r="D13" s="2558" t="s">
        <v>19</v>
      </c>
      <c r="E13" s="91">
        <v>34924</v>
      </c>
      <c r="F13" s="2549">
        <v>35647</v>
      </c>
      <c r="G13" s="2549">
        <v>40282.400999999998</v>
      </c>
      <c r="H13" s="2549">
        <v>46766</v>
      </c>
      <c r="I13" s="2549">
        <v>50478.47</v>
      </c>
      <c r="J13" s="104">
        <v>46976.127999999997</v>
      </c>
      <c r="K13" s="101">
        <v>50564.248</v>
      </c>
      <c r="L13" s="101">
        <v>46912.447</v>
      </c>
      <c r="M13" s="91">
        <v>44438.862999999998</v>
      </c>
      <c r="N13" s="104">
        <v>42977.184999999998</v>
      </c>
      <c r="O13" s="10"/>
      <c r="P13" s="10"/>
      <c r="Q13" s="1875"/>
      <c r="R13" s="1874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34" ht="22.5" customHeight="1">
      <c r="A14" s="2826" t="s">
        <v>20</v>
      </c>
      <c r="B14" s="2827"/>
      <c r="C14" s="2828"/>
      <c r="D14" s="2558" t="s">
        <v>21</v>
      </c>
      <c r="E14" s="91">
        <v>24461</v>
      </c>
      <c r="F14" s="2549">
        <v>25014</v>
      </c>
      <c r="G14" s="2549">
        <v>27242.582999999999</v>
      </c>
      <c r="H14" s="2549">
        <v>30299</v>
      </c>
      <c r="I14" s="2549">
        <v>34859.031986000002</v>
      </c>
      <c r="J14" s="104">
        <v>33645.702255999997</v>
      </c>
      <c r="K14" s="101">
        <v>35962.951547999997</v>
      </c>
      <c r="L14" s="101">
        <v>32920.00923499999</v>
      </c>
      <c r="M14" s="91">
        <v>30249</v>
      </c>
      <c r="N14" s="104">
        <v>29135.634424</v>
      </c>
      <c r="O14" s="10"/>
      <c r="P14" s="10"/>
      <c r="Q14" s="1875"/>
      <c r="R14" s="1874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34" ht="22.5" customHeight="1">
      <c r="A15" s="2826" t="s">
        <v>22</v>
      </c>
      <c r="B15" s="2827"/>
      <c r="C15" s="2828"/>
      <c r="D15" s="2558" t="s">
        <v>19</v>
      </c>
      <c r="E15" s="91">
        <v>381748.94299999997</v>
      </c>
      <c r="F15" s="2549">
        <v>399246.27399999998</v>
      </c>
      <c r="G15" s="2549">
        <v>474984.31800000003</v>
      </c>
      <c r="H15" s="2549">
        <v>509396.49200000003</v>
      </c>
      <c r="I15" s="2549">
        <v>573181.41399999999</v>
      </c>
      <c r="J15" s="104">
        <v>559376.93599999999</v>
      </c>
      <c r="K15" s="101">
        <v>525436.55200000003</v>
      </c>
      <c r="L15" s="101">
        <v>534673.45799999998</v>
      </c>
      <c r="M15" s="91">
        <v>520178</v>
      </c>
      <c r="N15" s="104">
        <v>408973.46600000001</v>
      </c>
      <c r="O15" s="10"/>
      <c r="P15" s="10"/>
      <c r="Q15" s="1875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4" ht="22.5" customHeight="1">
      <c r="A16" s="2826" t="s">
        <v>23</v>
      </c>
      <c r="B16" s="2827"/>
      <c r="C16" s="2828"/>
      <c r="D16" s="2558" t="s">
        <v>21</v>
      </c>
      <c r="E16" s="91">
        <v>61460.271778999988</v>
      </c>
      <c r="F16" s="2549">
        <v>62786.584598000001</v>
      </c>
      <c r="G16" s="2549">
        <v>68336.154727000001</v>
      </c>
      <c r="H16" s="2549">
        <v>73101.564278000005</v>
      </c>
      <c r="I16" s="2549">
        <v>80905.072042</v>
      </c>
      <c r="J16" s="104">
        <v>80658.982592999993</v>
      </c>
      <c r="K16" s="101">
        <v>76781.183629000006</v>
      </c>
      <c r="L16" s="421">
        <v>79305.392743000004</v>
      </c>
      <c r="M16" s="99">
        <v>50562.144826790005</v>
      </c>
      <c r="N16" s="103">
        <v>51709.764358</v>
      </c>
      <c r="O16" s="10"/>
      <c r="P16" s="10"/>
      <c r="Q16" s="1875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2.5" customHeight="1" thickBot="1">
      <c r="A17" s="2831" t="s">
        <v>24</v>
      </c>
      <c r="B17" s="2832"/>
      <c r="C17" s="2833"/>
      <c r="D17" s="2561" t="s">
        <v>10</v>
      </c>
      <c r="E17" s="99">
        <v>554908</v>
      </c>
      <c r="F17" s="2550">
        <v>571710</v>
      </c>
      <c r="G17" s="2550">
        <v>643166</v>
      </c>
      <c r="H17" s="2550">
        <v>742316</v>
      </c>
      <c r="I17" s="2550">
        <v>788521</v>
      </c>
      <c r="J17" s="103">
        <v>732177</v>
      </c>
      <c r="K17" s="649">
        <v>808321</v>
      </c>
      <c r="L17" s="649">
        <v>770296</v>
      </c>
      <c r="M17" s="99">
        <v>725144</v>
      </c>
      <c r="N17" s="103">
        <v>689037</v>
      </c>
      <c r="O17" s="10"/>
      <c r="P17" s="10"/>
      <c r="Q17" s="1875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2.5" customHeight="1">
      <c r="A18" s="2823" t="s">
        <v>25</v>
      </c>
      <c r="B18" s="2824"/>
      <c r="C18" s="2825"/>
      <c r="D18" s="2557" t="s">
        <v>19</v>
      </c>
      <c r="E18" s="419">
        <v>23752.027999999998</v>
      </c>
      <c r="F18" s="2551">
        <v>23634</v>
      </c>
      <c r="G18" s="2551">
        <v>25570.758999999998</v>
      </c>
      <c r="H18" s="2551">
        <v>30112.524999999998</v>
      </c>
      <c r="I18" s="2551">
        <v>34061.845999999998</v>
      </c>
      <c r="J18" s="2538">
        <v>32818.543999999994</v>
      </c>
      <c r="K18" s="648">
        <v>36996.665000000001</v>
      </c>
      <c r="L18" s="648">
        <v>31824.460999999996</v>
      </c>
      <c r="M18" s="419">
        <f>M13-M19-M20-M21</f>
        <v>40787.232999999993</v>
      </c>
      <c r="N18" s="2538">
        <v>39067.233999999989</v>
      </c>
      <c r="O18" s="10"/>
      <c r="P18" s="10"/>
      <c r="Q18" s="1875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22.15" customHeight="1">
      <c r="A19" s="2826" t="s">
        <v>26</v>
      </c>
      <c r="B19" s="2827"/>
      <c r="C19" s="2828"/>
      <c r="D19" s="2558" t="s">
        <v>19</v>
      </c>
      <c r="E19" s="91">
        <v>3693</v>
      </c>
      <c r="F19" s="2549">
        <v>3233</v>
      </c>
      <c r="G19" s="2549">
        <v>2471</v>
      </c>
      <c r="H19" s="2549">
        <v>3071.4679999999998</v>
      </c>
      <c r="I19" s="2549">
        <v>2711</v>
      </c>
      <c r="J19" s="104">
        <v>2444.5839999999998</v>
      </c>
      <c r="K19" s="101">
        <v>3618.105</v>
      </c>
      <c r="L19" s="101">
        <v>3606.5630000000001</v>
      </c>
      <c r="M19" s="91">
        <v>440.76600000000002</v>
      </c>
      <c r="N19" s="104">
        <v>499.28500000000003</v>
      </c>
      <c r="O19" s="10"/>
      <c r="P19" s="10"/>
      <c r="Q19" s="1875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2.5" customHeight="1">
      <c r="A20" s="2826" t="s">
        <v>27</v>
      </c>
      <c r="B20" s="2827"/>
      <c r="C20" s="2828"/>
      <c r="D20" s="2558" t="s">
        <v>19</v>
      </c>
      <c r="E20" s="91">
        <v>6682</v>
      </c>
      <c r="F20" s="2549">
        <v>7345</v>
      </c>
      <c r="G20" s="2549">
        <v>11098</v>
      </c>
      <c r="H20" s="2549">
        <v>11996.048000000001</v>
      </c>
      <c r="I20" s="2549">
        <v>12121</v>
      </c>
      <c r="J20" s="104">
        <v>11091</v>
      </c>
      <c r="K20" s="101">
        <v>9142.9609999999993</v>
      </c>
      <c r="L20" s="101">
        <v>9543.3639999999996</v>
      </c>
      <c r="M20" s="91">
        <v>1778.2819999999999</v>
      </c>
      <c r="N20" s="104">
        <v>1840.232</v>
      </c>
      <c r="O20" s="10"/>
      <c r="P20" s="10"/>
      <c r="Q20" s="1875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22.5" customHeight="1" thickBot="1">
      <c r="A21" s="2839" t="s">
        <v>28</v>
      </c>
      <c r="B21" s="2840"/>
      <c r="C21" s="2840"/>
      <c r="D21" s="2562" t="s">
        <v>29</v>
      </c>
      <c r="E21" s="109">
        <v>796.97199999999998</v>
      </c>
      <c r="F21" s="2552">
        <v>1435</v>
      </c>
      <c r="G21" s="2552">
        <v>1142.6420000000001</v>
      </c>
      <c r="H21" s="2552">
        <v>1585.9590000000001</v>
      </c>
      <c r="I21" s="2552">
        <v>1584.624</v>
      </c>
      <c r="J21" s="110">
        <v>622</v>
      </c>
      <c r="K21" s="422">
        <v>806.51700000000005</v>
      </c>
      <c r="L21" s="422">
        <v>1938.059</v>
      </c>
      <c r="M21" s="109">
        <v>1432.5820000000001</v>
      </c>
      <c r="N21" s="110">
        <v>1570.434</v>
      </c>
      <c r="O21" s="12"/>
      <c r="P21" s="10"/>
      <c r="Q21" s="1875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22.5" customHeight="1" thickBot="1">
      <c r="A22" s="2839" t="s">
        <v>30</v>
      </c>
      <c r="B22" s="2840"/>
      <c r="C22" s="2840"/>
      <c r="D22" s="2558" t="s">
        <v>31</v>
      </c>
      <c r="E22" s="416">
        <v>409.399</v>
      </c>
      <c r="F22" s="2556">
        <v>404.226</v>
      </c>
      <c r="G22" s="2556">
        <v>432.39499999999998</v>
      </c>
      <c r="H22" s="2553">
        <v>466.73250100000001</v>
      </c>
      <c r="I22" s="2553">
        <v>485.56200000000001</v>
      </c>
      <c r="J22" s="2539">
        <v>481</v>
      </c>
      <c r="K22" s="418">
        <v>435</v>
      </c>
      <c r="L22" s="418">
        <v>467.14264200000019</v>
      </c>
      <c r="M22" s="417">
        <v>461</v>
      </c>
      <c r="N22" s="2539">
        <v>441</v>
      </c>
      <c r="O22" s="12"/>
      <c r="P22" s="12"/>
      <c r="Q22" s="1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22.5" customHeight="1" thickBot="1">
      <c r="A23" s="2841" t="s">
        <v>32</v>
      </c>
      <c r="B23" s="2842"/>
      <c r="C23" s="2843"/>
      <c r="D23" s="2563" t="s">
        <v>33</v>
      </c>
      <c r="E23" s="423">
        <v>10628.80268319519</v>
      </c>
      <c r="F23" s="2554">
        <v>9729.6393889958672</v>
      </c>
      <c r="G23" s="2554">
        <v>9858</v>
      </c>
      <c r="H23" s="2554">
        <v>13344</v>
      </c>
      <c r="I23" s="2554">
        <v>19153.897412000002</v>
      </c>
      <c r="J23" s="2540">
        <v>25168.567397103998</v>
      </c>
      <c r="K23" s="424">
        <v>41335.439764977993</v>
      </c>
      <c r="L23" s="424">
        <v>65651.394130989007</v>
      </c>
      <c r="M23" s="423">
        <f>+'[2]90'!W16/1000</f>
        <v>79192.818350728994</v>
      </c>
      <c r="N23" s="2540">
        <v>108012</v>
      </c>
      <c r="O23" s="1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22.5" customHeight="1" thickBot="1">
      <c r="A24" s="2844" t="s">
        <v>34</v>
      </c>
      <c r="B24" s="2845"/>
      <c r="C24" s="2846"/>
      <c r="D24" s="2564" t="s">
        <v>33</v>
      </c>
      <c r="E24" s="423">
        <v>17721.335999999999</v>
      </c>
      <c r="F24" s="2554">
        <v>17592.180501531999</v>
      </c>
      <c r="G24" s="2554">
        <v>22067.625034589</v>
      </c>
      <c r="H24" s="2554">
        <v>26985.609005440001</v>
      </c>
      <c r="I24" s="2554">
        <v>30562.318552126799</v>
      </c>
      <c r="J24" s="2540">
        <v>39673</v>
      </c>
      <c r="K24" s="424">
        <v>51359.860293541999</v>
      </c>
      <c r="L24" s="424">
        <v>76999.482485750006</v>
      </c>
      <c r="M24" s="423">
        <v>124441</v>
      </c>
      <c r="N24" s="2540">
        <v>165942</v>
      </c>
      <c r="O24" s="1879"/>
      <c r="P24" s="10"/>
      <c r="Q24" s="13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22.5" customHeight="1" thickBot="1">
      <c r="A25" s="2847" t="s">
        <v>35</v>
      </c>
      <c r="B25" s="2848"/>
      <c r="C25" s="2849"/>
      <c r="D25" s="2562" t="s">
        <v>33</v>
      </c>
      <c r="E25" s="423">
        <v>11876.04</v>
      </c>
      <c r="F25" s="2554">
        <v>19350.462</v>
      </c>
      <c r="G25" s="2554">
        <v>21628.239000000001</v>
      </c>
      <c r="H25" s="2554">
        <v>28828.004000000001</v>
      </c>
      <c r="I25" s="2554">
        <v>18127.21</v>
      </c>
      <c r="J25" s="2540">
        <v>15395.885</v>
      </c>
      <c r="K25" s="424">
        <v>18024.169999999998</v>
      </c>
      <c r="L25" s="424">
        <v>33529.597999999998</v>
      </c>
      <c r="M25" s="423">
        <v>31634</v>
      </c>
      <c r="N25" s="2540">
        <v>61903</v>
      </c>
      <c r="O25" s="12"/>
      <c r="P25" s="10"/>
      <c r="Q25" s="14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22.5" customHeight="1">
      <c r="A26" s="2835" t="s">
        <v>811</v>
      </c>
      <c r="B26" s="2835"/>
      <c r="C26" s="2835"/>
      <c r="D26" s="2835"/>
      <c r="E26" s="2835"/>
      <c r="F26" s="2531"/>
      <c r="G26" s="2531"/>
      <c r="H26" s="2531"/>
      <c r="I26" s="2531"/>
      <c r="J26" s="2531"/>
      <c r="K26" s="2531"/>
      <c r="L26" s="2531"/>
      <c r="M26" s="2531"/>
      <c r="N26" s="10"/>
      <c r="O26" s="12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21.75" customHeight="1">
      <c r="A27" s="2850" t="s">
        <v>810</v>
      </c>
      <c r="B27" s="2850"/>
      <c r="C27" s="2850"/>
      <c r="D27" s="2850"/>
      <c r="G27" s="9"/>
      <c r="H27" s="9"/>
      <c r="I27" s="9"/>
      <c r="J27" s="9"/>
      <c r="K27" s="2851"/>
      <c r="L27" s="2851"/>
      <c r="M27" s="15"/>
      <c r="N27" s="425"/>
      <c r="O27" s="16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21.75">
      <c r="A28" s="2852" t="s">
        <v>36</v>
      </c>
      <c r="B28" s="2852"/>
      <c r="C28" s="2852"/>
      <c r="D28" s="2852"/>
      <c r="G28" s="9"/>
      <c r="H28" s="9"/>
      <c r="I28" s="9"/>
      <c r="J28" s="9"/>
      <c r="K28" s="2851"/>
      <c r="L28" s="2851"/>
      <c r="M28" s="17"/>
      <c r="N28" s="426"/>
      <c r="O28" s="16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>
      <c r="B29" s="2838"/>
      <c r="C29" s="2838"/>
      <c r="D29" s="2838"/>
      <c r="G29" s="9"/>
      <c r="H29" s="9"/>
      <c r="I29" s="9"/>
      <c r="J29" s="9"/>
      <c r="M29" s="18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>
      <c r="E30" s="9"/>
      <c r="F30" s="9"/>
      <c r="G30" s="9"/>
      <c r="H30" s="9"/>
      <c r="I30" s="9"/>
      <c r="J30" s="9"/>
      <c r="K30" s="9"/>
      <c r="L30" s="9"/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</sheetData>
  <mergeCells count="32">
    <mergeCell ref="A26:E26"/>
    <mergeCell ref="A1:G1"/>
    <mergeCell ref="H1:N1"/>
    <mergeCell ref="B29:D29"/>
    <mergeCell ref="A20:C20"/>
    <mergeCell ref="A21:C21"/>
    <mergeCell ref="A22:C22"/>
    <mergeCell ref="A23:C23"/>
    <mergeCell ref="A24:C24"/>
    <mergeCell ref="A25:C25"/>
    <mergeCell ref="A27:D27"/>
    <mergeCell ref="K27:L27"/>
    <mergeCell ref="A28:D28"/>
    <mergeCell ref="K28:L28"/>
    <mergeCell ref="A19:C19"/>
    <mergeCell ref="A8:C8"/>
    <mergeCell ref="A9:C9"/>
    <mergeCell ref="B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2:C2"/>
    <mergeCell ref="A3:C3"/>
    <mergeCell ref="A4:C4"/>
    <mergeCell ref="A5:C5"/>
    <mergeCell ref="A6:C6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firstPageNumber="1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J29"/>
  <sheetViews>
    <sheetView rightToLeft="1" view="pageBreakPreview" zoomScaleNormal="85" zoomScaleSheetLayoutView="100" workbookViewId="0">
      <selection activeCell="G19" sqref="A1:G19"/>
    </sheetView>
  </sheetViews>
  <sheetFormatPr defaultColWidth="7" defaultRowHeight="15.75"/>
  <cols>
    <col min="1" max="1" width="19" style="19" customWidth="1"/>
    <col min="2" max="2" width="13.375" style="19" customWidth="1"/>
    <col min="3" max="3" width="12.125" style="19" customWidth="1"/>
    <col min="4" max="15" width="8.625" style="19" customWidth="1"/>
    <col min="16" max="16" width="9.25" style="19" customWidth="1"/>
    <col min="17" max="17" width="10.125" style="19" bestFit="1" customWidth="1"/>
    <col min="18" max="19" width="8.375" style="19" bestFit="1" customWidth="1"/>
    <col min="20" max="20" width="7" style="19"/>
    <col min="21" max="21" width="8.25" style="19" bestFit="1" customWidth="1"/>
    <col min="22" max="16384" width="7" style="19"/>
  </cols>
  <sheetData>
    <row r="1" spans="1:36" ht="41.25" customHeight="1" thickBot="1">
      <c r="A1" s="2857" t="s">
        <v>2023</v>
      </c>
      <c r="B1" s="2857"/>
      <c r="C1" s="2857"/>
      <c r="D1" s="2857"/>
      <c r="E1" s="2857"/>
      <c r="F1" s="2857"/>
      <c r="G1" s="2857"/>
      <c r="H1" s="2858" t="s">
        <v>2024</v>
      </c>
      <c r="I1" s="2858"/>
      <c r="J1" s="2858"/>
      <c r="K1" s="2858"/>
      <c r="L1" s="2858"/>
      <c r="M1" s="2858"/>
      <c r="N1" s="2858"/>
      <c r="O1" s="2858"/>
      <c r="P1" s="2858"/>
      <c r="R1" s="19" t="s">
        <v>2022</v>
      </c>
      <c r="T1" s="20"/>
    </row>
    <row r="2" spans="1:36" ht="41.25" customHeight="1" thickBot="1">
      <c r="A2" s="2867" t="s">
        <v>1</v>
      </c>
      <c r="B2" s="2868"/>
      <c r="C2" s="2568" t="s">
        <v>2</v>
      </c>
      <c r="D2" s="2568" t="s">
        <v>37</v>
      </c>
      <c r="E2" s="2568" t="s">
        <v>38</v>
      </c>
      <c r="F2" s="2568" t="s">
        <v>39</v>
      </c>
      <c r="G2" s="2568" t="s">
        <v>40</v>
      </c>
      <c r="H2" s="2568" t="s">
        <v>41</v>
      </c>
      <c r="I2" s="2568" t="s">
        <v>42</v>
      </c>
      <c r="J2" s="2568" t="s">
        <v>43</v>
      </c>
      <c r="K2" s="2568" t="s">
        <v>44</v>
      </c>
      <c r="L2" s="2568" t="s">
        <v>45</v>
      </c>
      <c r="M2" s="2568" t="s">
        <v>46</v>
      </c>
      <c r="N2" s="2568" t="s">
        <v>47</v>
      </c>
      <c r="O2" s="2568" t="s">
        <v>48</v>
      </c>
      <c r="P2" s="1876" t="s">
        <v>49</v>
      </c>
      <c r="T2" s="20"/>
      <c r="Y2" s="20"/>
    </row>
    <row r="3" spans="1:36" ht="30" customHeight="1">
      <c r="A3" s="2855" t="s">
        <v>815</v>
      </c>
      <c r="B3" s="2856"/>
      <c r="C3" s="2569" t="s">
        <v>10</v>
      </c>
      <c r="D3" s="2581">
        <v>554.82999999999993</v>
      </c>
      <c r="E3" s="2581">
        <v>533.61</v>
      </c>
      <c r="F3" s="2581">
        <v>529.62</v>
      </c>
      <c r="G3" s="2581">
        <v>496.43</v>
      </c>
      <c r="H3" s="2581">
        <v>510.12</v>
      </c>
      <c r="I3" s="2581">
        <v>520.93000000000006</v>
      </c>
      <c r="J3" s="2581">
        <v>524.89</v>
      </c>
      <c r="K3" s="2581">
        <v>523.23</v>
      </c>
      <c r="L3" s="2581">
        <v>518.70000000000005</v>
      </c>
      <c r="M3" s="2581">
        <v>516.70000000000005</v>
      </c>
      <c r="N3" s="2581">
        <v>517.81999999999994</v>
      </c>
      <c r="O3" s="2581">
        <v>527.44000000000005</v>
      </c>
      <c r="P3" s="2582">
        <v>523</v>
      </c>
      <c r="Q3" s="21"/>
      <c r="R3" s="22"/>
      <c r="T3" s="20"/>
      <c r="Y3" s="20"/>
    </row>
    <row r="4" spans="1:36" ht="30" customHeight="1">
      <c r="A4" s="2853" t="s">
        <v>50</v>
      </c>
      <c r="B4" s="2854"/>
      <c r="C4" s="2569" t="s">
        <v>10</v>
      </c>
      <c r="D4" s="2583">
        <v>1401</v>
      </c>
      <c r="E4" s="2584">
        <v>1404</v>
      </c>
      <c r="F4" s="2584">
        <v>1419</v>
      </c>
      <c r="G4" s="2584">
        <v>1442</v>
      </c>
      <c r="H4" s="2584">
        <v>1368</v>
      </c>
      <c r="I4" s="2584">
        <v>1401</v>
      </c>
      <c r="J4" s="2584">
        <v>1409</v>
      </c>
      <c r="K4" s="2584">
        <v>1402</v>
      </c>
      <c r="L4" s="2584">
        <v>1408</v>
      </c>
      <c r="M4" s="2584">
        <v>1417</v>
      </c>
      <c r="N4" s="2584">
        <v>1425</v>
      </c>
      <c r="O4" s="2584">
        <v>1435</v>
      </c>
      <c r="P4" s="2582">
        <f>AVERAGE(D4:O4)</f>
        <v>1410.9166666666667</v>
      </c>
      <c r="Q4" s="23">
        <f>+P4+P3</f>
        <v>1933.9166666666667</v>
      </c>
      <c r="R4" s="24"/>
      <c r="T4" s="20"/>
      <c r="Y4" s="20"/>
    </row>
    <row r="5" spans="1:36" ht="30" customHeight="1">
      <c r="A5" s="2853" t="s">
        <v>51</v>
      </c>
      <c r="B5" s="2854"/>
      <c r="C5" s="2569" t="s">
        <v>10</v>
      </c>
      <c r="D5" s="2583">
        <v>154</v>
      </c>
      <c r="E5" s="2584">
        <v>157</v>
      </c>
      <c r="F5" s="2584">
        <v>157</v>
      </c>
      <c r="G5" s="2584">
        <v>157</v>
      </c>
      <c r="H5" s="2584">
        <v>142</v>
      </c>
      <c r="I5" s="2584">
        <v>140</v>
      </c>
      <c r="J5" s="2584">
        <v>142</v>
      </c>
      <c r="K5" s="2584">
        <v>142</v>
      </c>
      <c r="L5" s="2584">
        <v>143</v>
      </c>
      <c r="M5" s="2584">
        <v>147</v>
      </c>
      <c r="N5" s="2584">
        <v>147</v>
      </c>
      <c r="O5" s="2584">
        <v>159</v>
      </c>
      <c r="P5" s="2585">
        <f>AVERAGE(D5:O5)</f>
        <v>148.91666666666666</v>
      </c>
      <c r="Q5" s="25"/>
      <c r="R5" s="25">
        <f>+P5+P6</f>
        <v>27489.976666666666</v>
      </c>
      <c r="S5" s="26">
        <f>+O5+O6</f>
        <v>27083</v>
      </c>
      <c r="T5" s="20"/>
      <c r="Y5" s="20"/>
    </row>
    <row r="6" spans="1:36" ht="30" customHeight="1">
      <c r="A6" s="2869" t="s">
        <v>52</v>
      </c>
      <c r="B6" s="2870"/>
      <c r="C6" s="2569" t="s">
        <v>10</v>
      </c>
      <c r="D6" s="2586">
        <v>27956.560000000001</v>
      </c>
      <c r="E6" s="2586">
        <v>27902.910000000003</v>
      </c>
      <c r="F6" s="2586">
        <v>27879.98</v>
      </c>
      <c r="G6" s="2586">
        <v>27982.280000000002</v>
      </c>
      <c r="H6" s="2586">
        <v>27933.3</v>
      </c>
      <c r="I6" s="2586">
        <v>27834.309999999998</v>
      </c>
      <c r="J6" s="2586">
        <v>27788.85</v>
      </c>
      <c r="K6" s="2586">
        <v>27877.53</v>
      </c>
      <c r="L6" s="2586">
        <v>25965</v>
      </c>
      <c r="M6" s="2586">
        <v>25766</v>
      </c>
      <c r="N6" s="2586">
        <v>26282</v>
      </c>
      <c r="O6" s="2586">
        <v>26924</v>
      </c>
      <c r="P6" s="2585">
        <f>AVERAGE(D6:O6)</f>
        <v>27341.059999999998</v>
      </c>
      <c r="Q6" s="26"/>
      <c r="R6" s="26"/>
      <c r="S6" s="26">
        <f>+P5+P6</f>
        <v>27489.976666666666</v>
      </c>
      <c r="T6" s="20"/>
      <c r="Y6" s="20"/>
    </row>
    <row r="7" spans="1:36" ht="30" customHeight="1">
      <c r="A7" s="2853" t="s">
        <v>53</v>
      </c>
      <c r="B7" s="2854"/>
      <c r="C7" s="2570" t="s">
        <v>54</v>
      </c>
      <c r="D7" s="2587">
        <v>2469.3139999999999</v>
      </c>
      <c r="E7" s="2588">
        <v>2876.8009999999999</v>
      </c>
      <c r="F7" s="2589">
        <v>2817.95</v>
      </c>
      <c r="G7" s="2588">
        <v>2609.6419999999998</v>
      </c>
      <c r="H7" s="2588">
        <v>2589.9609999999998</v>
      </c>
      <c r="I7" s="2588">
        <v>2864.4929999999999</v>
      </c>
      <c r="J7" s="2588">
        <v>2658.3919999999998</v>
      </c>
      <c r="K7" s="2588">
        <v>2721.48</v>
      </c>
      <c r="L7" s="2588">
        <v>2667.5259999999998</v>
      </c>
      <c r="M7" s="2588">
        <v>2566.2190000000001</v>
      </c>
      <c r="N7" s="2588">
        <v>2604.056</v>
      </c>
      <c r="O7" s="2587">
        <v>2338.2930000000001</v>
      </c>
      <c r="P7" s="2590">
        <v>31784.127000000004</v>
      </c>
      <c r="T7" s="20"/>
      <c r="Y7" s="20"/>
    </row>
    <row r="8" spans="1:36" ht="30" customHeight="1">
      <c r="A8" s="2853" t="s">
        <v>55</v>
      </c>
      <c r="B8" s="2854"/>
      <c r="C8" s="2570" t="s">
        <v>56</v>
      </c>
      <c r="D8" s="2591">
        <v>1349.2991890000001</v>
      </c>
      <c r="E8" s="2592">
        <v>1484.2324940000001</v>
      </c>
      <c r="F8" s="2591">
        <v>1466.158089</v>
      </c>
      <c r="G8" s="2592">
        <v>1389.7783609999999</v>
      </c>
      <c r="H8" s="2591">
        <v>1378.954465</v>
      </c>
      <c r="I8" s="2592">
        <v>1475.0182669999999</v>
      </c>
      <c r="J8" s="2591">
        <v>1401.060622</v>
      </c>
      <c r="K8" s="2592">
        <v>1378.8924959999999</v>
      </c>
      <c r="L8" s="2591">
        <v>1376.7233229999999</v>
      </c>
      <c r="M8" s="2592">
        <v>1321.5896090000001</v>
      </c>
      <c r="N8" s="2592">
        <v>1361.6182510000001</v>
      </c>
      <c r="O8" s="2591">
        <v>1210.7432269999999</v>
      </c>
      <c r="P8" s="2590">
        <v>16594.068392999998</v>
      </c>
      <c r="Q8" s="26"/>
      <c r="T8" s="20"/>
      <c r="W8" s="27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6" ht="30" customHeight="1" thickBot="1">
      <c r="A9" s="2853" t="s">
        <v>57</v>
      </c>
      <c r="B9" s="2854"/>
      <c r="C9" s="2570" t="s">
        <v>4</v>
      </c>
      <c r="D9" s="2593">
        <v>546.42673592746814</v>
      </c>
      <c r="E9" s="2593">
        <v>515.93158303268115</v>
      </c>
      <c r="F9" s="2593">
        <v>520.29244273319262</v>
      </c>
      <c r="G9" s="2593">
        <v>532.5551784497643</v>
      </c>
      <c r="H9" s="2593">
        <v>532.42286852968061</v>
      </c>
      <c r="I9" s="2593">
        <v>514.93170589001261</v>
      </c>
      <c r="J9" s="2593">
        <v>527.0331170120885</v>
      </c>
      <c r="K9" s="2593">
        <v>506.67008245513472</v>
      </c>
      <c r="L9" s="2593">
        <v>516.10493131088504</v>
      </c>
      <c r="M9" s="2593">
        <v>514.99486559798686</v>
      </c>
      <c r="N9" s="2593">
        <v>522.88362884669152</v>
      </c>
      <c r="O9" s="2593">
        <v>517.78935616708418</v>
      </c>
      <c r="P9" s="2594">
        <v>522.08665013829057</v>
      </c>
      <c r="T9" s="20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9"/>
    </row>
    <row r="10" spans="1:36" ht="30" customHeight="1" thickBot="1">
      <c r="A10" s="2853" t="s">
        <v>18</v>
      </c>
      <c r="B10" s="2854"/>
      <c r="C10" s="2570" t="s">
        <v>29</v>
      </c>
      <c r="D10" s="2595">
        <v>3900.4380000000001</v>
      </c>
      <c r="E10" s="2595">
        <v>3839.6320000000001</v>
      </c>
      <c r="F10" s="2595">
        <v>3873.3150000000001</v>
      </c>
      <c r="G10" s="2595">
        <v>3379.9769999999999</v>
      </c>
      <c r="H10" s="2595">
        <v>3320.614</v>
      </c>
      <c r="I10" s="2595">
        <v>3670.4110000000001</v>
      </c>
      <c r="J10" s="2595">
        <v>3695.1590000000001</v>
      </c>
      <c r="K10" s="2595">
        <v>3678.498</v>
      </c>
      <c r="L10" s="2595">
        <v>3382.616</v>
      </c>
      <c r="M10" s="2595">
        <v>3378.7220000000002</v>
      </c>
      <c r="N10" s="2595">
        <v>3501.8310000000001</v>
      </c>
      <c r="O10" s="2595">
        <v>3355.9720000000002</v>
      </c>
      <c r="P10" s="2596">
        <f>SUM(D10:O10)</f>
        <v>42977.185000000005</v>
      </c>
      <c r="T10" s="20"/>
      <c r="U10" s="30">
        <v>60224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9"/>
    </row>
    <row r="11" spans="1:36" ht="30" customHeight="1" thickBot="1">
      <c r="A11" s="2853" t="s">
        <v>58</v>
      </c>
      <c r="B11" s="2854"/>
      <c r="C11" s="2570" t="s">
        <v>59</v>
      </c>
      <c r="D11" s="2595">
        <v>2660.718879</v>
      </c>
      <c r="E11" s="2595">
        <v>2517.3251799999998</v>
      </c>
      <c r="F11" s="2595">
        <v>2593.108694</v>
      </c>
      <c r="G11" s="2595">
        <v>2266.428872</v>
      </c>
      <c r="H11" s="2595">
        <v>2349.286208</v>
      </c>
      <c r="I11" s="2595">
        <v>2504.4711029999999</v>
      </c>
      <c r="J11" s="2595">
        <v>2540.9765320000001</v>
      </c>
      <c r="K11" s="2595">
        <v>2526.747222</v>
      </c>
      <c r="L11" s="2595">
        <v>2299.3160210000001</v>
      </c>
      <c r="M11" s="2595">
        <v>2231.5712789999998</v>
      </c>
      <c r="N11" s="2595">
        <v>2371.4591810000002</v>
      </c>
      <c r="O11" s="2595">
        <v>2274.2252530000001</v>
      </c>
      <c r="P11" s="2596">
        <f>SUM(D11:O11)</f>
        <v>29135.634424</v>
      </c>
      <c r="S11" s="26">
        <f>SUM(D10:I10)</f>
        <v>21984.387000000002</v>
      </c>
      <c r="T11" s="31"/>
      <c r="U11" s="30">
        <v>61181</v>
      </c>
      <c r="Y11" s="20"/>
    </row>
    <row r="12" spans="1:36" ht="30" customHeight="1" thickBot="1">
      <c r="A12" s="2853" t="s">
        <v>60</v>
      </c>
      <c r="B12" s="2854"/>
      <c r="C12" s="2570" t="s">
        <v>4</v>
      </c>
      <c r="D12" s="2595">
        <f>(D11*1000000)/(D10*1000)</f>
        <v>682.15899829711429</v>
      </c>
      <c r="E12" s="2595">
        <f t="shared" ref="E12:O12" si="0">(E11*1000000)/(E10*1000)</f>
        <v>655.6162621834593</v>
      </c>
      <c r="F12" s="2595">
        <f t="shared" si="0"/>
        <v>669.48045640491409</v>
      </c>
      <c r="G12" s="2595">
        <f t="shared" si="0"/>
        <v>670.5456492751282</v>
      </c>
      <c r="H12" s="2595">
        <f t="shared" si="0"/>
        <v>707.48548551563056</v>
      </c>
      <c r="I12" s="2595">
        <f t="shared" si="0"/>
        <v>682.34077954757652</v>
      </c>
      <c r="J12" s="2595">
        <f t="shared" si="0"/>
        <v>687.65012060374124</v>
      </c>
      <c r="K12" s="2595">
        <f t="shared" si="0"/>
        <v>686.89645121459898</v>
      </c>
      <c r="L12" s="2595">
        <f t="shared" si="0"/>
        <v>679.74491369992927</v>
      </c>
      <c r="M12" s="2595">
        <f t="shared" si="0"/>
        <v>660.47792005379551</v>
      </c>
      <c r="N12" s="2595">
        <f t="shared" si="0"/>
        <v>677.20549078467809</v>
      </c>
      <c r="O12" s="2595">
        <f t="shared" si="0"/>
        <v>677.66514529918607</v>
      </c>
      <c r="P12" s="2596">
        <f>P11*1000/P10</f>
        <v>677.93259200201214</v>
      </c>
      <c r="S12" s="19">
        <f>+S11/1000</f>
        <v>21.984387000000002</v>
      </c>
      <c r="T12" s="31"/>
      <c r="U12" s="30">
        <v>53059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30" customHeight="1" thickBot="1">
      <c r="A13" s="2853" t="s">
        <v>61</v>
      </c>
      <c r="B13" s="2854"/>
      <c r="C13" s="2570" t="s">
        <v>19</v>
      </c>
      <c r="D13" s="2595">
        <f>38177758/1000</f>
        <v>38177.758000000002</v>
      </c>
      <c r="E13" s="2595">
        <f>36173771/1000</f>
        <v>36173.771000000001</v>
      </c>
      <c r="F13" s="2595">
        <f>38483271/1000</f>
        <v>38483.271000000001</v>
      </c>
      <c r="G13" s="2595">
        <f>34630683/1000</f>
        <v>34630.682999999997</v>
      </c>
      <c r="H13" s="2595">
        <f>35276548/1000</f>
        <v>35276.548000000003</v>
      </c>
      <c r="I13" s="2595">
        <f>33159801/1000</f>
        <v>33159.800999999999</v>
      </c>
      <c r="J13" s="2595">
        <f>34779121/1000</f>
        <v>34779.120999999999</v>
      </c>
      <c r="K13" s="2595">
        <f>34487026/1000</f>
        <v>34487.025999999998</v>
      </c>
      <c r="L13" s="2595">
        <f>31289889/1000</f>
        <v>31289.888999999999</v>
      </c>
      <c r="M13" s="2595">
        <f>30380718/1000</f>
        <v>30380.718000000001</v>
      </c>
      <c r="N13" s="2595">
        <f>31466506/1000</f>
        <v>31466.506000000001</v>
      </c>
      <c r="O13" s="2595">
        <f>30668374/1000</f>
        <v>30668.374</v>
      </c>
      <c r="P13" s="2596">
        <f t="shared" ref="P13:P14" si="1">SUM(D13:O13)</f>
        <v>408973.46600000007</v>
      </c>
      <c r="T13" s="32"/>
      <c r="U13" s="30">
        <v>52032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30" customHeight="1" thickBot="1">
      <c r="A14" s="2853" t="s">
        <v>62</v>
      </c>
      <c r="B14" s="2854"/>
      <c r="C14" s="2570" t="s">
        <v>21</v>
      </c>
      <c r="D14" s="2597">
        <v>4868.8359899999996</v>
      </c>
      <c r="E14" s="2595">
        <v>4530.9636399999999</v>
      </c>
      <c r="F14" s="2595">
        <v>4690.0277910000004</v>
      </c>
      <c r="G14" s="2595">
        <v>4298.1163630000001</v>
      </c>
      <c r="H14" s="2595">
        <v>4332.6838909999997</v>
      </c>
      <c r="I14" s="2595">
        <v>4217.0533169999999</v>
      </c>
      <c r="J14" s="2595">
        <v>4428.3251129999999</v>
      </c>
      <c r="K14" s="2595">
        <v>4463.9394830000001</v>
      </c>
      <c r="L14" s="2595">
        <v>4007.9739930000001</v>
      </c>
      <c r="M14" s="2595">
        <v>3990.0702689999998</v>
      </c>
      <c r="N14" s="2595">
        <v>4056.378138</v>
      </c>
      <c r="O14" s="2595">
        <v>3825.3963669999998</v>
      </c>
      <c r="P14" s="2596">
        <f t="shared" si="1"/>
        <v>51709.764354999999</v>
      </c>
      <c r="T14" s="32"/>
      <c r="U14" s="30">
        <v>57536</v>
      </c>
    </row>
    <row r="15" spans="1:36" ht="30" customHeight="1" thickBot="1">
      <c r="A15" s="2861" t="s">
        <v>24</v>
      </c>
      <c r="B15" s="2862"/>
      <c r="C15" s="337" t="s">
        <v>10</v>
      </c>
      <c r="D15" s="2598">
        <v>61410</v>
      </c>
      <c r="E15" s="2598">
        <v>61131</v>
      </c>
      <c r="F15" s="2598">
        <v>62119</v>
      </c>
      <c r="G15" s="2598">
        <v>53931</v>
      </c>
      <c r="H15" s="2598">
        <v>52966</v>
      </c>
      <c r="I15" s="2598">
        <v>58500</v>
      </c>
      <c r="J15" s="2598">
        <v>59280</v>
      </c>
      <c r="K15" s="2598">
        <v>59195</v>
      </c>
      <c r="L15" s="2598">
        <v>54180</v>
      </c>
      <c r="M15" s="2598">
        <v>54625</v>
      </c>
      <c r="N15" s="2598">
        <v>56954</v>
      </c>
      <c r="O15" s="2598">
        <v>54746</v>
      </c>
      <c r="P15" s="2599">
        <f>SUM(D15:O15)</f>
        <v>689037</v>
      </c>
      <c r="T15" s="32"/>
    </row>
    <row r="16" spans="1:36" ht="33.75" customHeight="1">
      <c r="A16" s="2863" t="s">
        <v>63</v>
      </c>
      <c r="B16" s="2864"/>
      <c r="C16" s="2571" t="s">
        <v>33</v>
      </c>
      <c r="D16" s="2600">
        <v>6821.0336147389999</v>
      </c>
      <c r="E16" s="2600">
        <v>6348.8729562580002</v>
      </c>
      <c r="F16" s="2600">
        <v>8494.4019640529987</v>
      </c>
      <c r="G16" s="2600">
        <v>7509.0303993930002</v>
      </c>
      <c r="H16" s="2600">
        <v>7824.8553846599998</v>
      </c>
      <c r="I16" s="2600">
        <v>7904.6121465330007</v>
      </c>
      <c r="J16" s="2600">
        <v>8033.0912800229999</v>
      </c>
      <c r="K16" s="2600">
        <v>7935.7074717549995</v>
      </c>
      <c r="L16" s="2600">
        <v>7533.2762744270003</v>
      </c>
      <c r="M16" s="2600">
        <v>7565.6175515040004</v>
      </c>
      <c r="N16" s="2600">
        <v>7987.2186851319993</v>
      </c>
      <c r="O16" s="2600">
        <v>7372.8698257569995</v>
      </c>
      <c r="P16" s="2601">
        <v>91330.587554233978</v>
      </c>
      <c r="T16" s="32"/>
    </row>
    <row r="17" spans="1:20" ht="33.75" customHeight="1">
      <c r="A17" s="2853" t="s">
        <v>65</v>
      </c>
      <c r="B17" s="2854"/>
      <c r="C17" s="2571" t="s">
        <v>33</v>
      </c>
      <c r="D17" s="2600">
        <v>429.86329553799999</v>
      </c>
      <c r="E17" s="2602">
        <v>402.087445457</v>
      </c>
      <c r="F17" s="2602">
        <v>436.19546893400002</v>
      </c>
      <c r="G17" s="2602">
        <v>367.62443530500002</v>
      </c>
      <c r="H17" s="2602">
        <v>442.03426961299999</v>
      </c>
      <c r="I17" s="2602">
        <v>505.51282386899999</v>
      </c>
      <c r="J17" s="2602">
        <v>503.75124246199999</v>
      </c>
      <c r="K17" s="2602">
        <v>482.01208862200002</v>
      </c>
      <c r="L17" s="2602">
        <v>556.47942562999992</v>
      </c>
      <c r="M17" s="2602">
        <v>619.26948652399994</v>
      </c>
      <c r="N17" s="2602">
        <v>565.57537163199993</v>
      </c>
      <c r="O17" s="2600">
        <v>785.875686739</v>
      </c>
      <c r="P17" s="2603">
        <v>6096.2810403249987</v>
      </c>
      <c r="T17" s="32"/>
    </row>
    <row r="18" spans="1:20" ht="33.75" customHeight="1" thickBot="1">
      <c r="A18" s="2865" t="s">
        <v>66</v>
      </c>
      <c r="B18" s="2866"/>
      <c r="C18" s="2571" t="s">
        <v>33</v>
      </c>
      <c r="D18" s="2600">
        <v>768.272686604</v>
      </c>
      <c r="E18" s="2602">
        <v>713.52000241500002</v>
      </c>
      <c r="F18" s="2602">
        <v>789.51061608800001</v>
      </c>
      <c r="G18" s="2602">
        <v>524.351975864</v>
      </c>
      <c r="H18" s="2602">
        <v>458.64727033000003</v>
      </c>
      <c r="I18" s="2602">
        <v>915.463702872</v>
      </c>
      <c r="J18" s="2602">
        <v>954.94814990199995</v>
      </c>
      <c r="K18" s="2602">
        <v>949.52821021900002</v>
      </c>
      <c r="L18" s="2602">
        <v>1167.0803735289999</v>
      </c>
      <c r="M18" s="2602">
        <v>1102.8096179879999</v>
      </c>
      <c r="N18" s="2602">
        <v>1270.229854836</v>
      </c>
      <c r="O18" s="2600">
        <v>971.04929115199991</v>
      </c>
      <c r="P18" s="2604">
        <v>10585.411751799</v>
      </c>
    </row>
    <row r="19" spans="1:20" ht="37.5" customHeight="1" thickBot="1">
      <c r="A19" s="2859" t="s">
        <v>67</v>
      </c>
      <c r="B19" s="2860"/>
      <c r="C19" s="2571" t="s">
        <v>33</v>
      </c>
      <c r="D19" s="2605">
        <f>SUM(D16:D18)</f>
        <v>8019.169596881</v>
      </c>
      <c r="E19" s="2605">
        <f t="shared" ref="E19:O19" si="2">SUM(E16:E18)</f>
        <v>7464.4804041300004</v>
      </c>
      <c r="F19" s="2605">
        <f t="shared" si="2"/>
        <v>9720.1080490749991</v>
      </c>
      <c r="G19" s="2605">
        <f t="shared" si="2"/>
        <v>8401.0068105619994</v>
      </c>
      <c r="H19" s="2605">
        <f>SUM(H16:H18)</f>
        <v>8725.5369246030004</v>
      </c>
      <c r="I19" s="2605">
        <f t="shared" si="2"/>
        <v>9325.5886732740018</v>
      </c>
      <c r="J19" s="2605">
        <f t="shared" si="2"/>
        <v>9491.7906723870001</v>
      </c>
      <c r="K19" s="2605">
        <f t="shared" si="2"/>
        <v>9367.2477705959991</v>
      </c>
      <c r="L19" s="2605">
        <f t="shared" si="2"/>
        <v>9256.8360735860006</v>
      </c>
      <c r="M19" s="2605">
        <f>SUM(M16:M18)</f>
        <v>9287.6966560159999</v>
      </c>
      <c r="N19" s="2605">
        <f t="shared" si="2"/>
        <v>9823.0239115999993</v>
      </c>
      <c r="O19" s="2605">
        <f t="shared" si="2"/>
        <v>9129.7948036479993</v>
      </c>
      <c r="P19" s="2606">
        <f>SUM(P16:P18)</f>
        <v>108012.28034635798</v>
      </c>
    </row>
    <row r="20" spans="1:20">
      <c r="A20" s="33"/>
      <c r="B20" s="34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20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20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4" spans="1:20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9" spans="1:20">
      <c r="K29" s="26"/>
    </row>
  </sheetData>
  <mergeCells count="20">
    <mergeCell ref="H1:P1"/>
    <mergeCell ref="A19:B19"/>
    <mergeCell ref="A13:B13"/>
    <mergeCell ref="A14:B14"/>
    <mergeCell ref="A15:B15"/>
    <mergeCell ref="A16:B16"/>
    <mergeCell ref="A17:B17"/>
    <mergeCell ref="A18:B18"/>
    <mergeCell ref="A12:B12"/>
    <mergeCell ref="A2:B2"/>
    <mergeCell ref="A5:B5"/>
    <mergeCell ref="A6:B6"/>
    <mergeCell ref="A7:B7"/>
    <mergeCell ref="A8:B8"/>
    <mergeCell ref="A9:B9"/>
    <mergeCell ref="A10:B10"/>
    <mergeCell ref="A11:B11"/>
    <mergeCell ref="A3:B3"/>
    <mergeCell ref="A4:B4"/>
    <mergeCell ref="A1:G1"/>
  </mergeCells>
  <printOptions horizontalCentered="1" verticalCentered="1"/>
  <pageMargins left="0.19685039370078741" right="0.78740157480314965" top="0.98425196850393704" bottom="0.98425196850393704" header="0.51181102362204722" footer="0.51181102362204722"/>
  <pageSetup paperSize="9" firstPageNumber="2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W24"/>
  <sheetViews>
    <sheetView rightToLeft="1" view="pageBreakPreview" zoomScale="80" zoomScaleNormal="85" zoomScaleSheetLayoutView="80" workbookViewId="0">
      <pane ySplit="2" topLeftCell="A7" activePane="bottomLeft" state="frozen"/>
      <selection activeCell="A17" sqref="A17:Y17"/>
      <selection pane="bottomLeft" sqref="A1:M15"/>
    </sheetView>
  </sheetViews>
  <sheetFormatPr defaultColWidth="7" defaultRowHeight="15.75"/>
  <cols>
    <col min="1" max="1" width="10" style="1" customWidth="1"/>
    <col min="2" max="2" width="7" style="1" customWidth="1"/>
    <col min="3" max="3" width="8.625" style="1" customWidth="1"/>
    <col min="4" max="4" width="7.5" style="1" customWidth="1"/>
    <col min="5" max="5" width="8" style="1" customWidth="1"/>
    <col min="6" max="6" width="7.875" style="1" customWidth="1"/>
    <col min="7" max="7" width="7.375" style="1" customWidth="1"/>
    <col min="8" max="8" width="7.25" style="1" customWidth="1"/>
    <col min="9" max="9" width="7.625" style="1" customWidth="1"/>
    <col min="10" max="12" width="8" style="1" customWidth="1"/>
    <col min="13" max="13" width="7.25" style="1" customWidth="1"/>
    <col min="14" max="15" width="7.5" style="1" customWidth="1"/>
    <col min="16" max="16" width="8.5" style="1" customWidth="1"/>
    <col min="17" max="18" width="7.5" style="1" customWidth="1"/>
    <col min="19" max="19" width="8.625" style="1" customWidth="1"/>
    <col min="20" max="20" width="7.5" style="1" customWidth="1"/>
    <col min="21" max="21" width="6.875" style="1" customWidth="1"/>
    <col min="22" max="22" width="7.5" style="1" customWidth="1"/>
    <col min="23" max="23" width="7" style="1" customWidth="1"/>
    <col min="24" max="24" width="6.125" style="1" customWidth="1"/>
    <col min="25" max="25" width="5.875" style="1" customWidth="1"/>
    <col min="26" max="26" width="6.125" style="1" customWidth="1"/>
    <col min="27" max="27" width="9.125" style="1" customWidth="1"/>
    <col min="28" max="28" width="7" style="1"/>
    <col min="29" max="29" width="8.625" style="1" customWidth="1"/>
    <col min="30" max="16384" width="7" style="1"/>
  </cols>
  <sheetData>
    <row r="1" spans="1:49" ht="41.25" customHeight="1" thickBot="1">
      <c r="A1" s="2836" t="s">
        <v>2025</v>
      </c>
      <c r="B1" s="2836"/>
      <c r="C1" s="2836"/>
      <c r="D1" s="2836"/>
      <c r="E1" s="2836"/>
      <c r="F1" s="2836"/>
      <c r="G1" s="2836"/>
      <c r="H1" s="2836"/>
      <c r="I1" s="2836"/>
      <c r="J1" s="2836"/>
      <c r="K1" s="2836"/>
      <c r="L1" s="2836"/>
      <c r="M1" s="2836"/>
      <c r="N1" s="2837" t="s">
        <v>2026</v>
      </c>
      <c r="O1" s="2837"/>
      <c r="P1" s="2837"/>
      <c r="Q1" s="2837"/>
      <c r="R1" s="2837"/>
      <c r="S1" s="2837"/>
      <c r="T1" s="2837"/>
      <c r="U1" s="2837"/>
      <c r="V1" s="2837"/>
      <c r="W1" s="2837"/>
      <c r="X1" s="2837"/>
      <c r="Y1" s="2837"/>
      <c r="Z1" s="2837"/>
      <c r="AA1" s="2837"/>
    </row>
    <row r="2" spans="1:49" ht="66.75" customHeight="1" thickBot="1">
      <c r="A2" s="2844" t="s">
        <v>1</v>
      </c>
      <c r="B2" s="2845"/>
      <c r="C2" s="35" t="s">
        <v>2</v>
      </c>
      <c r="D2" s="36" t="s">
        <v>68</v>
      </c>
      <c r="E2" s="37" t="s">
        <v>69</v>
      </c>
      <c r="F2" s="37" t="s">
        <v>70</v>
      </c>
      <c r="G2" s="37" t="s">
        <v>71</v>
      </c>
      <c r="H2" s="37" t="s">
        <v>72</v>
      </c>
      <c r="I2" s="37" t="s">
        <v>73</v>
      </c>
      <c r="J2" s="37" t="s">
        <v>483</v>
      </c>
      <c r="K2" s="37" t="s">
        <v>75</v>
      </c>
      <c r="L2" s="37" t="s">
        <v>76</v>
      </c>
      <c r="M2" s="37" t="s">
        <v>77</v>
      </c>
      <c r="N2" s="37" t="s">
        <v>78</v>
      </c>
      <c r="O2" s="37" t="s">
        <v>79</v>
      </c>
      <c r="P2" s="37" t="s">
        <v>80</v>
      </c>
      <c r="Q2" s="38" t="s">
        <v>81</v>
      </c>
      <c r="R2" s="38" t="s">
        <v>82</v>
      </c>
      <c r="S2" s="37" t="s">
        <v>83</v>
      </c>
      <c r="T2" s="37" t="s">
        <v>84</v>
      </c>
      <c r="U2" s="37" t="s">
        <v>85</v>
      </c>
      <c r="V2" s="39" t="s">
        <v>86</v>
      </c>
      <c r="W2" s="37" t="s">
        <v>87</v>
      </c>
      <c r="X2" s="40" t="s">
        <v>88</v>
      </c>
      <c r="Y2" s="41" t="s">
        <v>89</v>
      </c>
      <c r="Z2" s="42" t="s">
        <v>90</v>
      </c>
      <c r="AA2" s="35" t="s">
        <v>49</v>
      </c>
      <c r="AF2" s="43">
        <v>2278.096751</v>
      </c>
      <c r="AG2" s="1">
        <f>AF2/1000000</f>
        <v>2.2780967509999999E-3</v>
      </c>
    </row>
    <row r="3" spans="1:49" ht="38.25" customHeight="1">
      <c r="A3" s="2880" t="s">
        <v>3</v>
      </c>
      <c r="B3" s="2881"/>
      <c r="C3" s="4" t="s">
        <v>4</v>
      </c>
      <c r="D3" s="2608">
        <v>509</v>
      </c>
      <c r="E3" s="2609">
        <v>156</v>
      </c>
      <c r="F3" s="2610">
        <v>444</v>
      </c>
      <c r="G3" s="2610">
        <v>704</v>
      </c>
      <c r="H3" s="2610">
        <v>330</v>
      </c>
      <c r="I3" s="2610">
        <v>335</v>
      </c>
      <c r="J3" s="2610">
        <v>1067</v>
      </c>
      <c r="K3" s="2610">
        <v>148</v>
      </c>
      <c r="L3" s="2610">
        <v>735</v>
      </c>
      <c r="M3" s="2610">
        <v>279</v>
      </c>
      <c r="N3" s="2610">
        <v>992</v>
      </c>
      <c r="O3" s="2610">
        <v>743</v>
      </c>
      <c r="P3" s="2610">
        <v>1060</v>
      </c>
      <c r="Q3" s="2610">
        <v>549</v>
      </c>
      <c r="R3" s="2611">
        <v>484</v>
      </c>
      <c r="S3" s="2610">
        <v>1227</v>
      </c>
      <c r="T3" s="2610">
        <v>881</v>
      </c>
      <c r="U3" s="2610">
        <v>487</v>
      </c>
      <c r="V3" s="2610">
        <v>235</v>
      </c>
      <c r="W3" s="2610">
        <v>537</v>
      </c>
      <c r="X3" s="2610">
        <v>401</v>
      </c>
      <c r="Y3" s="2612" t="s">
        <v>95</v>
      </c>
      <c r="Z3" s="2612" t="s">
        <v>95</v>
      </c>
      <c r="AA3" s="2572">
        <f>SUM(D3:Z3)</f>
        <v>12303</v>
      </c>
      <c r="AF3" s="43">
        <v>1740.119715</v>
      </c>
      <c r="AG3" s="1">
        <f t="shared" ref="AG3:AG14" si="0">AF3/1000000</f>
        <v>1.740119715E-3</v>
      </c>
    </row>
    <row r="4" spans="1:49" ht="38.25" customHeight="1">
      <c r="A4" s="2817" t="s">
        <v>91</v>
      </c>
      <c r="B4" s="2818"/>
      <c r="C4" s="5" t="s">
        <v>6</v>
      </c>
      <c r="D4" s="2612">
        <v>240</v>
      </c>
      <c r="E4" s="2612">
        <v>122</v>
      </c>
      <c r="F4" s="2612">
        <v>255</v>
      </c>
      <c r="G4" s="2612">
        <v>510</v>
      </c>
      <c r="H4" s="2612">
        <v>342</v>
      </c>
      <c r="I4" s="2612">
        <v>80</v>
      </c>
      <c r="J4" s="2612">
        <v>316</v>
      </c>
      <c r="K4" s="2612">
        <v>108</v>
      </c>
      <c r="L4" s="2612">
        <v>652</v>
      </c>
      <c r="M4" s="2641">
        <v>159</v>
      </c>
      <c r="N4" s="2641">
        <v>314</v>
      </c>
      <c r="O4" s="2612">
        <v>318</v>
      </c>
      <c r="P4" s="2612">
        <v>445</v>
      </c>
      <c r="Q4" s="2612">
        <v>120</v>
      </c>
      <c r="R4" s="2612">
        <v>67</v>
      </c>
      <c r="S4" s="2612">
        <v>440</v>
      </c>
      <c r="T4" s="2612">
        <v>214</v>
      </c>
      <c r="U4" s="2612">
        <v>120</v>
      </c>
      <c r="V4" s="2612">
        <v>218</v>
      </c>
      <c r="W4" s="2612">
        <v>131</v>
      </c>
      <c r="X4" s="2612">
        <v>1</v>
      </c>
      <c r="Y4" s="2612" t="s">
        <v>95</v>
      </c>
      <c r="Z4" s="2613" t="s">
        <v>1305</v>
      </c>
      <c r="AA4" s="2607">
        <v>6592</v>
      </c>
      <c r="AB4" s="9">
        <f>SUM(D4:W4)</f>
        <v>5171</v>
      </c>
      <c r="AC4" s="9">
        <f>SUM(D4:X4)</f>
        <v>5172</v>
      </c>
      <c r="AF4" s="43">
        <v>2874.9612769999999</v>
      </c>
      <c r="AG4" s="1">
        <f t="shared" si="0"/>
        <v>2.8749612769999999E-3</v>
      </c>
    </row>
    <row r="5" spans="1:49" ht="38.25" customHeight="1">
      <c r="A5" s="2817" t="s">
        <v>53</v>
      </c>
      <c r="B5" s="2818"/>
      <c r="C5" s="5" t="s">
        <v>54</v>
      </c>
      <c r="D5" s="2614">
        <v>1535.84</v>
      </c>
      <c r="E5" s="2615">
        <v>268.12200000000001</v>
      </c>
      <c r="F5" s="2615">
        <v>474.36700000000002</v>
      </c>
      <c r="G5" s="2615">
        <v>10887.078</v>
      </c>
      <c r="H5" s="2615">
        <v>828.548</v>
      </c>
      <c r="I5" s="2615">
        <v>967.17</v>
      </c>
      <c r="J5" s="2615">
        <v>433.96800000000002</v>
      </c>
      <c r="K5" s="2615">
        <v>414.13400000000001</v>
      </c>
      <c r="L5" s="2615">
        <v>8418.3289999999997</v>
      </c>
      <c r="M5" s="2615">
        <v>841.54</v>
      </c>
      <c r="N5" s="2615">
        <v>1365.1420000000001</v>
      </c>
      <c r="O5" s="2615">
        <v>858.97199999999998</v>
      </c>
      <c r="P5" s="2615">
        <v>490.32</v>
      </c>
      <c r="Q5" s="2615">
        <v>570.49800000000005</v>
      </c>
      <c r="R5" s="2615">
        <v>209.27199999999999</v>
      </c>
      <c r="S5" s="2615">
        <v>531.12199999999996</v>
      </c>
      <c r="T5" s="2615">
        <v>202.54</v>
      </c>
      <c r="U5" s="2615">
        <v>282.08499999999998</v>
      </c>
      <c r="V5" s="2616">
        <v>383.52600000000001</v>
      </c>
      <c r="W5" s="2616">
        <v>1540.645</v>
      </c>
      <c r="X5" s="2615">
        <v>280.90899999999999</v>
      </c>
      <c r="Y5" s="2612" t="s">
        <v>95</v>
      </c>
      <c r="Z5" s="2612" t="s">
        <v>95</v>
      </c>
      <c r="AA5" s="2573">
        <v>31784.127000000004</v>
      </c>
      <c r="AB5" s="9">
        <f>+AB4+1420</f>
        <v>6591</v>
      </c>
      <c r="AC5" s="9">
        <f>+AC4+1420</f>
        <v>6592</v>
      </c>
      <c r="AF5" s="43">
        <v>5740.9243040000001</v>
      </c>
      <c r="AG5" s="1">
        <f t="shared" si="0"/>
        <v>5.7409243040000002E-3</v>
      </c>
    </row>
    <row r="6" spans="1:49" ht="38.25" customHeight="1">
      <c r="A6" s="2817" t="s">
        <v>55</v>
      </c>
      <c r="B6" s="2818"/>
      <c r="C6" s="44" t="s">
        <v>56</v>
      </c>
      <c r="D6" s="2617">
        <v>686.21553700000004</v>
      </c>
      <c r="E6" s="2615">
        <v>61.746014000000002</v>
      </c>
      <c r="F6" s="2617">
        <v>309.85134099999999</v>
      </c>
      <c r="G6" s="2615">
        <v>4559.8731809999999</v>
      </c>
      <c r="H6" s="2617">
        <v>195.111684</v>
      </c>
      <c r="I6" s="2615">
        <v>366.08899400000001</v>
      </c>
      <c r="J6" s="2617">
        <v>189.572282</v>
      </c>
      <c r="K6" s="2615">
        <v>65.779608999999994</v>
      </c>
      <c r="L6" s="2617">
        <v>5878.9102199999998</v>
      </c>
      <c r="M6" s="2615">
        <v>362.37553600000001</v>
      </c>
      <c r="N6" s="2615">
        <v>663.74343799999997</v>
      </c>
      <c r="O6" s="2617">
        <v>608.30222400000002</v>
      </c>
      <c r="P6" s="2615">
        <v>264.565361</v>
      </c>
      <c r="Q6" s="2617">
        <v>392.75230900000003</v>
      </c>
      <c r="R6" s="2615">
        <v>203.753356</v>
      </c>
      <c r="S6" s="2617">
        <v>542.58479899999998</v>
      </c>
      <c r="T6" s="2615">
        <v>102.18997899999999</v>
      </c>
      <c r="U6" s="2617">
        <v>273.307795</v>
      </c>
      <c r="V6" s="2615">
        <v>77.015833000000001</v>
      </c>
      <c r="W6" s="2617">
        <v>628.87453600000003</v>
      </c>
      <c r="X6" s="2615">
        <v>161.454365</v>
      </c>
      <c r="Y6" s="2612" t="s">
        <v>95</v>
      </c>
      <c r="Z6" s="2612" t="s">
        <v>95</v>
      </c>
      <c r="AA6" s="2573">
        <v>16594.068393000001</v>
      </c>
      <c r="AF6" s="43">
        <v>674.76286900000002</v>
      </c>
      <c r="AG6" s="1">
        <f t="shared" si="0"/>
        <v>6.7476286899999997E-4</v>
      </c>
    </row>
    <row r="7" spans="1:49" ht="38.25" customHeight="1">
      <c r="A7" s="2817" t="s">
        <v>18</v>
      </c>
      <c r="B7" s="2818"/>
      <c r="C7" s="5" t="s">
        <v>19</v>
      </c>
      <c r="D7" s="2618">
        <v>3386.7910000000002</v>
      </c>
      <c r="E7" s="2618">
        <v>445.65899999999999</v>
      </c>
      <c r="F7" s="2618">
        <v>1103.9280000000001</v>
      </c>
      <c r="G7" s="2618">
        <v>1824.124</v>
      </c>
      <c r="H7" s="2618">
        <v>240.50399999999999</v>
      </c>
      <c r="I7" s="2618">
        <v>1283.202</v>
      </c>
      <c r="J7" s="2618">
        <v>404.291</v>
      </c>
      <c r="K7" s="2618">
        <v>454.63400000000001</v>
      </c>
      <c r="L7" s="2618">
        <v>2360.3969999999999</v>
      </c>
      <c r="M7" s="2642">
        <v>173.024</v>
      </c>
      <c r="N7" s="2642">
        <v>1008.206</v>
      </c>
      <c r="O7" s="2618">
        <v>3087.6309999999999</v>
      </c>
      <c r="P7" s="2618">
        <v>11074.971</v>
      </c>
      <c r="Q7" s="2618">
        <v>1449.787</v>
      </c>
      <c r="R7" s="2618">
        <v>121.014</v>
      </c>
      <c r="S7" s="2618">
        <v>6298.5990000000002</v>
      </c>
      <c r="T7" s="2618">
        <v>6761.3450000000003</v>
      </c>
      <c r="U7" s="2618">
        <v>377.48500000000001</v>
      </c>
      <c r="V7" s="2618">
        <v>176.58099999999999</v>
      </c>
      <c r="W7" s="2618">
        <v>350.82600000000002</v>
      </c>
      <c r="X7" s="2618">
        <v>339.86099999999999</v>
      </c>
      <c r="Y7" s="2618">
        <f>119500/1000</f>
        <v>119.5</v>
      </c>
      <c r="Z7" s="2618">
        <f>134825/1000</f>
        <v>134.82499999999999</v>
      </c>
      <c r="AA7" s="2574">
        <f>SUM(D7:Z7)</f>
        <v>42977.18499999999</v>
      </c>
      <c r="AF7" s="43">
        <v>5531.5767660000001</v>
      </c>
      <c r="AG7" s="1">
        <f t="shared" si="0"/>
        <v>5.5315767660000003E-3</v>
      </c>
      <c r="AI7" s="45">
        <v>822463.26899999997</v>
      </c>
      <c r="AJ7" s="46">
        <v>466029.89200000011</v>
      </c>
      <c r="AK7" s="46">
        <v>229039.59</v>
      </c>
      <c r="AL7" s="46">
        <v>5118160.0350000001</v>
      </c>
      <c r="AM7" s="46">
        <v>231396.04</v>
      </c>
      <c r="AN7" s="46">
        <v>379577.72800000006</v>
      </c>
      <c r="AO7" s="46">
        <v>3736774.074</v>
      </c>
      <c r="AP7" s="46">
        <v>703380.45</v>
      </c>
      <c r="AQ7" s="46">
        <v>442724.99</v>
      </c>
      <c r="AR7" s="46">
        <v>489434.39400000003</v>
      </c>
      <c r="AS7" s="46">
        <v>729697.61199999996</v>
      </c>
      <c r="AT7" s="46">
        <v>541711.42600000009</v>
      </c>
      <c r="AU7" s="46">
        <v>4.7040000000000006</v>
      </c>
      <c r="AV7" s="46">
        <v>9861.887999999999</v>
      </c>
      <c r="AW7" s="47">
        <v>26485.05</v>
      </c>
    </row>
    <row r="8" spans="1:49" ht="38.25" customHeight="1">
      <c r="A8" s="2817" t="s">
        <v>92</v>
      </c>
      <c r="B8" s="2818"/>
      <c r="C8" s="44" t="s">
        <v>93</v>
      </c>
      <c r="D8" s="2618">
        <v>1128.199419</v>
      </c>
      <c r="E8" s="2618">
        <v>763.73898599999995</v>
      </c>
      <c r="F8" s="2618">
        <v>896.88958200000002</v>
      </c>
      <c r="G8" s="2618">
        <v>820.218076</v>
      </c>
      <c r="H8" s="2618">
        <v>248.45254600000001</v>
      </c>
      <c r="I8" s="2618">
        <v>353.84723100000002</v>
      </c>
      <c r="J8" s="2618">
        <v>958.53826100000003</v>
      </c>
      <c r="K8" s="2618">
        <v>73.563219000000004</v>
      </c>
      <c r="L8" s="2618">
        <v>889.92941599999995</v>
      </c>
      <c r="M8" s="2642">
        <v>357.59132199999999</v>
      </c>
      <c r="N8" s="2642">
        <v>477.67029300000002</v>
      </c>
      <c r="O8" s="2618">
        <v>4050.388234</v>
      </c>
      <c r="P8" s="2618">
        <v>5052.8404719999999</v>
      </c>
      <c r="Q8" s="2618">
        <v>730.36296400000003</v>
      </c>
      <c r="R8" s="2618">
        <v>175.08810500000001</v>
      </c>
      <c r="S8" s="2618">
        <v>5575.2578960000001</v>
      </c>
      <c r="T8" s="2618">
        <v>4469.1035849999998</v>
      </c>
      <c r="U8" s="2618">
        <v>68.800145000000001</v>
      </c>
      <c r="V8" s="2618">
        <v>853.61659799999995</v>
      </c>
      <c r="W8" s="2618">
        <v>855.63498400000003</v>
      </c>
      <c r="X8" s="2618">
        <v>56.145783000000002</v>
      </c>
      <c r="Y8" s="2618">
        <f>131450000/1000000</f>
        <v>131.44999999999999</v>
      </c>
      <c r="Z8" s="2618">
        <f>148307500/1000000</f>
        <v>148.3075</v>
      </c>
      <c r="AA8" s="2574">
        <f t="shared" ref="AA8:AA9" si="1">SUM(D8:Z8)</f>
        <v>29135.634617</v>
      </c>
      <c r="AF8" s="43">
        <v>3817.7082260000002</v>
      </c>
      <c r="AG8" s="1">
        <f t="shared" si="0"/>
        <v>3.8177082260000004E-3</v>
      </c>
      <c r="AI8" s="1">
        <f>AI7/1000</f>
        <v>822.46326899999997</v>
      </c>
      <c r="AJ8" s="1">
        <f t="shared" ref="AJ8:AW8" si="2">AJ7/1000</f>
        <v>466.02989200000013</v>
      </c>
      <c r="AK8" s="1">
        <f t="shared" si="2"/>
        <v>229.03959</v>
      </c>
      <c r="AL8" s="1">
        <f t="shared" si="2"/>
        <v>5118.1600349999999</v>
      </c>
      <c r="AM8" s="1">
        <f t="shared" si="2"/>
        <v>231.39604</v>
      </c>
      <c r="AN8" s="1">
        <f t="shared" si="2"/>
        <v>379.57772800000004</v>
      </c>
      <c r="AO8" s="1">
        <f t="shared" si="2"/>
        <v>3736.7740739999999</v>
      </c>
      <c r="AP8" s="1">
        <f t="shared" si="2"/>
        <v>703.38045</v>
      </c>
      <c r="AQ8" s="1">
        <f t="shared" si="2"/>
        <v>442.72498999999999</v>
      </c>
      <c r="AR8" s="1">
        <f t="shared" si="2"/>
        <v>489.43439400000005</v>
      </c>
      <c r="AS8" s="1">
        <f t="shared" si="2"/>
        <v>729.69761199999994</v>
      </c>
      <c r="AT8" s="1">
        <f t="shared" si="2"/>
        <v>541.71142600000007</v>
      </c>
      <c r="AU8" s="1">
        <f t="shared" si="2"/>
        <v>4.7040000000000007E-3</v>
      </c>
      <c r="AV8" s="1">
        <f t="shared" si="2"/>
        <v>9.8618879999999987</v>
      </c>
      <c r="AW8" s="1">
        <f t="shared" si="2"/>
        <v>26.485049999999998</v>
      </c>
    </row>
    <row r="9" spans="1:49" ht="38.25" customHeight="1">
      <c r="A9" s="2817" t="s">
        <v>61</v>
      </c>
      <c r="B9" s="2818"/>
      <c r="C9" s="5" t="s">
        <v>19</v>
      </c>
      <c r="D9" s="2619">
        <v>18295.819</v>
      </c>
      <c r="E9" s="2619">
        <v>12863.811</v>
      </c>
      <c r="F9" s="2619">
        <v>13639.511</v>
      </c>
      <c r="G9" s="2619">
        <v>24305.412</v>
      </c>
      <c r="H9" s="2619">
        <v>6457.4409999999998</v>
      </c>
      <c r="I9" s="2619">
        <v>9906.6229999999996</v>
      </c>
      <c r="J9" s="2619">
        <v>12085.016</v>
      </c>
      <c r="K9" s="2619">
        <v>1318.9739999999999</v>
      </c>
      <c r="L9" s="2619">
        <v>17117.145</v>
      </c>
      <c r="M9" s="2643">
        <v>5044.7929999999997</v>
      </c>
      <c r="N9" s="2643">
        <v>7004.6059999999998</v>
      </c>
      <c r="O9" s="2619">
        <v>58241.464</v>
      </c>
      <c r="P9" s="2619">
        <v>59134.108</v>
      </c>
      <c r="Q9" s="2619">
        <v>14645.449000000001</v>
      </c>
      <c r="R9" s="2619">
        <v>2951.1669999999999</v>
      </c>
      <c r="S9" s="2619">
        <v>52058.099000000002</v>
      </c>
      <c r="T9" s="2619">
        <v>51171.428999999996</v>
      </c>
      <c r="U9" s="2619">
        <v>1139.2070000000001</v>
      </c>
      <c r="V9" s="2619">
        <v>19262.797999999999</v>
      </c>
      <c r="W9" s="2619">
        <v>22074.83</v>
      </c>
      <c r="X9" s="2619">
        <v>255.76400000000001</v>
      </c>
      <c r="Y9" s="2620" t="s">
        <v>95</v>
      </c>
      <c r="Z9" s="2620" t="s">
        <v>95</v>
      </c>
      <c r="AA9" s="2574">
        <f t="shared" si="1"/>
        <v>408973.46600000007</v>
      </c>
      <c r="AF9" s="43">
        <v>1828.9499370000001</v>
      </c>
      <c r="AG9" s="1">
        <f t="shared" si="0"/>
        <v>1.828949937E-3</v>
      </c>
    </row>
    <row r="10" spans="1:49" ht="38.25" customHeight="1">
      <c r="A10" s="2817" t="s">
        <v>62</v>
      </c>
      <c r="B10" s="2818"/>
      <c r="C10" s="44" t="s">
        <v>93</v>
      </c>
      <c r="D10" s="2618">
        <v>1760.7743579999999</v>
      </c>
      <c r="E10" s="2618">
        <v>1417.389788</v>
      </c>
      <c r="F10" s="2618">
        <v>1511.990622</v>
      </c>
      <c r="G10" s="2618">
        <v>1456.6365249999999</v>
      </c>
      <c r="H10" s="2618">
        <v>464.21961900000002</v>
      </c>
      <c r="I10" s="2618">
        <v>420.357034</v>
      </c>
      <c r="J10" s="2618">
        <v>2034.7241670000001</v>
      </c>
      <c r="K10" s="2618">
        <v>46.553640999999999</v>
      </c>
      <c r="L10" s="2618">
        <v>1600.1621720000001</v>
      </c>
      <c r="M10" s="2642">
        <v>612.14912600000002</v>
      </c>
      <c r="N10" s="2642">
        <v>858.22468400000002</v>
      </c>
      <c r="O10" s="2618">
        <v>6877.5121440000003</v>
      </c>
      <c r="P10" s="2618">
        <v>9078.5120490000008</v>
      </c>
      <c r="Q10" s="2618">
        <v>1347.3982309999999</v>
      </c>
      <c r="R10" s="2618">
        <v>322.58262000000002</v>
      </c>
      <c r="S10" s="2618">
        <v>9727.4504240000006</v>
      </c>
      <c r="T10" s="2618">
        <v>8836.0466880000004</v>
      </c>
      <c r="U10" s="2618">
        <v>119.48079199999999</v>
      </c>
      <c r="V10" s="2618">
        <v>1564.762943</v>
      </c>
      <c r="W10" s="2618">
        <v>1612.0817589999999</v>
      </c>
      <c r="X10" s="2618">
        <v>40.754969000000003</v>
      </c>
      <c r="Y10" s="2620" t="s">
        <v>95</v>
      </c>
      <c r="Z10" s="2620" t="s">
        <v>95</v>
      </c>
      <c r="AA10" s="2574">
        <f>SUM(D10:Z10)</f>
        <v>51709.764355000014</v>
      </c>
      <c r="AF10" s="43">
        <v>565.39777500000002</v>
      </c>
      <c r="AG10" s="1">
        <f t="shared" si="0"/>
        <v>5.6539777499999997E-4</v>
      </c>
    </row>
    <row r="11" spans="1:49" ht="38.25" customHeight="1" thickBot="1">
      <c r="A11" s="2872" t="s">
        <v>24</v>
      </c>
      <c r="B11" s="2873"/>
      <c r="C11" s="8" t="s">
        <v>10</v>
      </c>
      <c r="D11" s="2621">
        <v>66324</v>
      </c>
      <c r="E11" s="2622">
        <v>7826</v>
      </c>
      <c r="F11" s="2622">
        <v>19510</v>
      </c>
      <c r="G11" s="2622">
        <v>34624</v>
      </c>
      <c r="H11" s="2622">
        <v>4205</v>
      </c>
      <c r="I11" s="2622">
        <v>22334</v>
      </c>
      <c r="J11" s="2622">
        <v>6952</v>
      </c>
      <c r="K11" s="2622">
        <v>7395</v>
      </c>
      <c r="L11" s="2622">
        <v>42842</v>
      </c>
      <c r="M11" s="2622">
        <v>2767</v>
      </c>
      <c r="N11" s="2622">
        <v>23947</v>
      </c>
      <c r="O11" s="2622">
        <v>49602</v>
      </c>
      <c r="P11" s="2622">
        <v>150203</v>
      </c>
      <c r="Q11" s="2622">
        <v>22839</v>
      </c>
      <c r="R11" s="2622">
        <v>2893</v>
      </c>
      <c r="S11" s="2622">
        <v>105545</v>
      </c>
      <c r="T11" s="2622">
        <v>88696</v>
      </c>
      <c r="U11" s="2622">
        <v>5672</v>
      </c>
      <c r="V11" s="2621">
        <v>2834</v>
      </c>
      <c r="W11" s="2623">
        <v>5488</v>
      </c>
      <c r="X11" s="2623">
        <v>5171</v>
      </c>
      <c r="Y11" s="2622">
        <v>5975</v>
      </c>
      <c r="Z11" s="2624">
        <v>5393</v>
      </c>
      <c r="AA11" s="2575">
        <f>SUM(D11:Z11)</f>
        <v>689037</v>
      </c>
      <c r="AF11" s="43">
        <v>8350.154235</v>
      </c>
      <c r="AG11" s="1">
        <f t="shared" si="0"/>
        <v>8.3501542350000006E-3</v>
      </c>
    </row>
    <row r="12" spans="1:49" ht="38.25" customHeight="1">
      <c r="A12" s="2874" t="s">
        <v>94</v>
      </c>
      <c r="B12" s="2875"/>
      <c r="C12" s="48" t="s">
        <v>2027</v>
      </c>
      <c r="D12" s="2625">
        <v>9156.4487511469997</v>
      </c>
      <c r="E12" s="2626">
        <v>296.59408857700004</v>
      </c>
      <c r="F12" s="2626">
        <v>2170.374694737</v>
      </c>
      <c r="G12" s="2626">
        <v>3106.1213917310001</v>
      </c>
      <c r="H12" s="2626">
        <v>810.665521216</v>
      </c>
      <c r="I12" s="2626">
        <v>836.10809256200002</v>
      </c>
      <c r="J12" s="2626">
        <v>839.80154130000005</v>
      </c>
      <c r="K12" s="2626">
        <v>103.40881775</v>
      </c>
      <c r="L12" s="2626">
        <v>2233.627666977</v>
      </c>
      <c r="M12" s="2626">
        <v>380.92817331099997</v>
      </c>
      <c r="N12" s="2626">
        <v>1521.257663012</v>
      </c>
      <c r="O12" s="2626">
        <v>16349.958761608001</v>
      </c>
      <c r="P12" s="2627">
        <v>15786.14534529</v>
      </c>
      <c r="Q12" s="2626">
        <v>16421.654443948002</v>
      </c>
      <c r="R12" s="2626">
        <v>1208.0804922799998</v>
      </c>
      <c r="S12" s="2628">
        <v>2239.6771282109999</v>
      </c>
      <c r="T12" s="2628">
        <v>16911.181786361001</v>
      </c>
      <c r="U12" s="2628">
        <v>197.05369775699998</v>
      </c>
      <c r="V12" s="2628">
        <v>311.96757685200004</v>
      </c>
      <c r="W12" s="2628">
        <v>449.53191960700002</v>
      </c>
      <c r="X12" s="2628">
        <v>0</v>
      </c>
      <c r="Y12" s="2629" t="s">
        <v>2017</v>
      </c>
      <c r="Z12" s="2629" t="s">
        <v>2017</v>
      </c>
      <c r="AA12" s="2576">
        <f>SUM(D12:Z12)</f>
        <v>91330.587554234007</v>
      </c>
      <c r="AF12" s="43">
        <v>6410.5908310000004</v>
      </c>
      <c r="AG12" s="1">
        <f t="shared" si="0"/>
        <v>6.4105908310000004E-3</v>
      </c>
    </row>
    <row r="13" spans="1:49" ht="38.25" customHeight="1">
      <c r="A13" s="2876" t="s">
        <v>65</v>
      </c>
      <c r="B13" s="2877"/>
      <c r="C13" s="48" t="s">
        <v>2027</v>
      </c>
      <c r="D13" s="2630">
        <v>0</v>
      </c>
      <c r="E13" s="2631">
        <v>0</v>
      </c>
      <c r="F13" s="2632">
        <v>5.2140000000000004</v>
      </c>
      <c r="G13" s="2631">
        <v>70.89</v>
      </c>
      <c r="H13" s="2631">
        <v>0</v>
      </c>
      <c r="I13" s="2632">
        <v>42.725000000000001</v>
      </c>
      <c r="J13" s="2631">
        <v>84.364000000000004</v>
      </c>
      <c r="K13" s="2631">
        <v>949.47699999999998</v>
      </c>
      <c r="L13" s="2631">
        <v>2619.5659999999998</v>
      </c>
      <c r="M13" s="2631">
        <v>147.81399999999999</v>
      </c>
      <c r="N13" s="2631">
        <v>1184.395</v>
      </c>
      <c r="O13" s="2631">
        <v>16.431999999999999</v>
      </c>
      <c r="P13" s="2633">
        <v>89.355000000000004</v>
      </c>
      <c r="Q13" s="2631">
        <v>165.172</v>
      </c>
      <c r="R13" s="2631">
        <v>52.170999999999999</v>
      </c>
      <c r="S13" s="2631">
        <v>81.683999999999997</v>
      </c>
      <c r="T13" s="2631">
        <v>510.23700000000002</v>
      </c>
      <c r="U13" s="2631">
        <v>10.554</v>
      </c>
      <c r="V13" s="2631">
        <v>0</v>
      </c>
      <c r="W13" s="2631">
        <v>66.230999999999995</v>
      </c>
      <c r="X13" s="2631">
        <v>0</v>
      </c>
      <c r="Y13" s="2634" t="s">
        <v>2017</v>
      </c>
      <c r="Z13" s="2634" t="s">
        <v>2017</v>
      </c>
      <c r="AA13" s="2577">
        <f>SUM(D13:Z13)</f>
        <v>6096.280999999999</v>
      </c>
      <c r="AF13" s="43">
        <v>10030.030015</v>
      </c>
      <c r="AG13" s="1">
        <f t="shared" si="0"/>
        <v>1.0030030015E-2</v>
      </c>
    </row>
    <row r="14" spans="1:49" ht="38.25" customHeight="1" thickBot="1">
      <c r="A14" s="2872" t="s">
        <v>96</v>
      </c>
      <c r="B14" s="2873"/>
      <c r="C14" s="48" t="s">
        <v>2027</v>
      </c>
      <c r="D14" s="2635">
        <v>0</v>
      </c>
      <c r="E14" s="2636">
        <v>0</v>
      </c>
      <c r="F14" s="2636">
        <v>0</v>
      </c>
      <c r="G14" s="2637">
        <v>0</v>
      </c>
      <c r="H14" s="2637">
        <v>0.101052402</v>
      </c>
      <c r="I14" s="2638">
        <v>0</v>
      </c>
      <c r="J14" s="2638">
        <v>0</v>
      </c>
      <c r="K14" s="2637">
        <v>64.763043293999999</v>
      </c>
      <c r="L14" s="2639">
        <v>8381.7469881010002</v>
      </c>
      <c r="M14" s="2637">
        <v>0</v>
      </c>
      <c r="N14" s="2637">
        <v>1004.254865329</v>
      </c>
      <c r="O14" s="2636">
        <v>0</v>
      </c>
      <c r="P14" s="2636">
        <v>0</v>
      </c>
      <c r="Q14" s="2636">
        <v>0</v>
      </c>
      <c r="R14" s="2636">
        <v>4.2538135639999997</v>
      </c>
      <c r="S14" s="2636">
        <v>1130.291989109</v>
      </c>
      <c r="T14" s="2636">
        <v>0</v>
      </c>
      <c r="U14" s="2636">
        <v>0</v>
      </c>
      <c r="V14" s="2636">
        <v>0</v>
      </c>
      <c r="W14" s="2637">
        <v>0</v>
      </c>
      <c r="X14" s="2638">
        <v>0</v>
      </c>
      <c r="Y14" s="2640" t="s">
        <v>2017</v>
      </c>
      <c r="Z14" s="2640" t="s">
        <v>2017</v>
      </c>
      <c r="AA14" s="2577">
        <f>SUM(D14:Z14)</f>
        <v>10585.411751799002</v>
      </c>
      <c r="AC14" s="49"/>
      <c r="AF14" s="43">
        <v>114.82376600000001</v>
      </c>
      <c r="AG14" s="1">
        <f t="shared" si="0"/>
        <v>1.1482376600000001E-4</v>
      </c>
    </row>
    <row r="15" spans="1:49" ht="38.25" customHeight="1" thickBot="1">
      <c r="A15" s="2878" t="s">
        <v>97</v>
      </c>
      <c r="B15" s="2879"/>
      <c r="C15" s="48" t="s">
        <v>2027</v>
      </c>
      <c r="D15" s="2578">
        <f>SUM(D12:D14)</f>
        <v>9156.4487511469997</v>
      </c>
      <c r="E15" s="2579">
        <f t="shared" ref="E15:V15" si="3">SUM(E12:E14)</f>
        <v>296.59408857700004</v>
      </c>
      <c r="F15" s="2579">
        <f t="shared" si="3"/>
        <v>2175.588694737</v>
      </c>
      <c r="G15" s="2579">
        <f t="shared" si="3"/>
        <v>3177.011391731</v>
      </c>
      <c r="H15" s="2579">
        <f t="shared" si="3"/>
        <v>810.76657361800005</v>
      </c>
      <c r="I15" s="2579">
        <f>SUM(I12:I14)</f>
        <v>878.83309256200005</v>
      </c>
      <c r="J15" s="2579">
        <f t="shared" si="3"/>
        <v>924.16554130000009</v>
      </c>
      <c r="K15" s="2579">
        <f t="shared" si="3"/>
        <v>1117.6488610439999</v>
      </c>
      <c r="L15" s="2579">
        <f t="shared" si="3"/>
        <v>13234.940655078</v>
      </c>
      <c r="M15" s="2579">
        <f t="shared" si="3"/>
        <v>528.74217331099999</v>
      </c>
      <c r="N15" s="2579">
        <f t="shared" si="3"/>
        <v>3709.9075283409998</v>
      </c>
      <c r="O15" s="2579">
        <f t="shared" si="3"/>
        <v>16366.390761608001</v>
      </c>
      <c r="P15" s="2579">
        <f t="shared" si="3"/>
        <v>15875.50034529</v>
      </c>
      <c r="Q15" s="2579">
        <f t="shared" si="3"/>
        <v>16586.826443948001</v>
      </c>
      <c r="R15" s="2579">
        <f t="shared" si="3"/>
        <v>1264.5053058439998</v>
      </c>
      <c r="S15" s="2579">
        <f>SUM(S12:S14)</f>
        <v>3451.6531173200001</v>
      </c>
      <c r="T15" s="2579">
        <f t="shared" si="3"/>
        <v>17421.418786361002</v>
      </c>
      <c r="U15" s="2579">
        <f>SUM(U12:U14)</f>
        <v>207.60769775699998</v>
      </c>
      <c r="V15" s="2579">
        <f t="shared" si="3"/>
        <v>311.96757685200004</v>
      </c>
      <c r="W15" s="2579">
        <f>SUM(W12:W14)</f>
        <v>515.76291960699996</v>
      </c>
      <c r="X15" s="2579">
        <v>0</v>
      </c>
      <c r="Y15" s="2579" t="s">
        <v>2017</v>
      </c>
      <c r="Z15" s="2579" t="s">
        <v>2017</v>
      </c>
      <c r="AA15" s="2580">
        <f>SUM(AA12:AA14)</f>
        <v>108012.280306033</v>
      </c>
      <c r="AB15" s="9"/>
    </row>
    <row r="16" spans="1:49" ht="11.25" customHeight="1">
      <c r="A16" s="51"/>
      <c r="B16" s="2871"/>
      <c r="C16" s="2871"/>
      <c r="D16" s="2871"/>
      <c r="E16" s="2871"/>
      <c r="F16" s="2871"/>
      <c r="AA16" s="9">
        <f>SUM(D15:W15)</f>
        <v>108012.280306033</v>
      </c>
    </row>
    <row r="17" spans="1:28" ht="39" customHeight="1">
      <c r="A17" s="51"/>
      <c r="B17" s="52"/>
      <c r="C17" s="52"/>
      <c r="D17" s="52">
        <f>+D20/1000</f>
        <v>9156.4487511469997</v>
      </c>
      <c r="E17" s="52">
        <f t="shared" ref="E17:W19" si="4">+E20/1000</f>
        <v>296.59408857700004</v>
      </c>
      <c r="F17" s="52">
        <f t="shared" si="4"/>
        <v>2170.374694737</v>
      </c>
      <c r="G17" s="52">
        <f t="shared" si="4"/>
        <v>3106.1213917310001</v>
      </c>
      <c r="H17" s="52">
        <f t="shared" si="4"/>
        <v>810.665521216</v>
      </c>
      <c r="I17" s="52">
        <f t="shared" si="4"/>
        <v>836.10809256200002</v>
      </c>
      <c r="J17" s="52">
        <f t="shared" si="4"/>
        <v>839.80154130000005</v>
      </c>
      <c r="K17" s="52">
        <f t="shared" si="4"/>
        <v>103.40881775</v>
      </c>
      <c r="L17" s="52">
        <f t="shared" si="4"/>
        <v>2233.627666977</v>
      </c>
      <c r="M17" s="52">
        <f t="shared" si="4"/>
        <v>380.92817331099997</v>
      </c>
      <c r="N17" s="52">
        <f t="shared" si="4"/>
        <v>1521.257663012</v>
      </c>
      <c r="O17" s="52">
        <f t="shared" si="4"/>
        <v>16349.958761608001</v>
      </c>
      <c r="P17" s="52">
        <f t="shared" si="4"/>
        <v>15786.14534529</v>
      </c>
      <c r="Q17" s="52">
        <f t="shared" si="4"/>
        <v>16421.654443948002</v>
      </c>
      <c r="R17" s="52">
        <f t="shared" si="4"/>
        <v>1208.0804922799998</v>
      </c>
      <c r="S17" s="52">
        <f t="shared" si="4"/>
        <v>2239.6771282109999</v>
      </c>
      <c r="T17" s="52">
        <f t="shared" si="4"/>
        <v>16911.181786361001</v>
      </c>
      <c r="U17" s="52">
        <f t="shared" si="4"/>
        <v>197.05369775699998</v>
      </c>
      <c r="V17" s="52">
        <f t="shared" si="4"/>
        <v>311.96757685200004</v>
      </c>
      <c r="W17" s="52">
        <f t="shared" si="4"/>
        <v>449.53191960700002</v>
      </c>
      <c r="X17" s="52"/>
      <c r="Y17" s="52"/>
      <c r="Z17" s="52"/>
      <c r="AA17" s="52"/>
      <c r="AB17" s="52"/>
    </row>
    <row r="18" spans="1:28">
      <c r="D18" s="52">
        <f t="shared" ref="D18:S19" si="5">+D21/1000</f>
        <v>0</v>
      </c>
      <c r="E18" s="52">
        <f t="shared" si="5"/>
        <v>0</v>
      </c>
      <c r="F18" s="52">
        <f t="shared" si="5"/>
        <v>5.2140000000000004</v>
      </c>
      <c r="G18" s="52">
        <f t="shared" si="5"/>
        <v>70.89</v>
      </c>
      <c r="H18" s="52">
        <f t="shared" si="5"/>
        <v>0</v>
      </c>
      <c r="I18" s="52">
        <f t="shared" si="5"/>
        <v>42.725000000000001</v>
      </c>
      <c r="J18" s="52">
        <f t="shared" si="5"/>
        <v>84.364000000000004</v>
      </c>
      <c r="K18" s="52">
        <f t="shared" si="5"/>
        <v>949.47699999999998</v>
      </c>
      <c r="L18" s="52">
        <f t="shared" si="5"/>
        <v>2619.5659999999998</v>
      </c>
      <c r="M18" s="52">
        <f t="shared" si="5"/>
        <v>147.81399999999999</v>
      </c>
      <c r="N18" s="52">
        <f t="shared" si="5"/>
        <v>1184.395</v>
      </c>
      <c r="O18" s="52">
        <f t="shared" si="5"/>
        <v>16.431999999999999</v>
      </c>
      <c r="P18" s="52">
        <f t="shared" si="5"/>
        <v>89.355000000000004</v>
      </c>
      <c r="Q18" s="52">
        <f t="shared" si="5"/>
        <v>165.172</v>
      </c>
      <c r="R18" s="52">
        <f t="shared" si="5"/>
        <v>52.170999999999999</v>
      </c>
      <c r="S18" s="52">
        <f t="shared" si="5"/>
        <v>81.683999999999997</v>
      </c>
      <c r="T18" s="52">
        <f t="shared" si="4"/>
        <v>510.23700000000002</v>
      </c>
      <c r="U18" s="52">
        <f t="shared" si="4"/>
        <v>10.554</v>
      </c>
      <c r="V18" s="52">
        <f t="shared" si="4"/>
        <v>0</v>
      </c>
      <c r="W18" s="52">
        <f t="shared" si="4"/>
        <v>66.230999999999995</v>
      </c>
    </row>
    <row r="19" spans="1:28">
      <c r="C19" s="54"/>
      <c r="D19" s="52">
        <f t="shared" si="5"/>
        <v>0</v>
      </c>
      <c r="E19" s="52">
        <f t="shared" si="4"/>
        <v>0</v>
      </c>
      <c r="F19" s="52">
        <f t="shared" si="4"/>
        <v>0</v>
      </c>
      <c r="G19" s="52">
        <f t="shared" si="4"/>
        <v>0</v>
      </c>
      <c r="H19" s="52">
        <f t="shared" si="4"/>
        <v>0.101052402</v>
      </c>
      <c r="I19" s="52">
        <f t="shared" si="4"/>
        <v>0</v>
      </c>
      <c r="J19" s="52">
        <f t="shared" si="4"/>
        <v>0</v>
      </c>
      <c r="K19" s="52">
        <f t="shared" si="4"/>
        <v>64.763043293999999</v>
      </c>
      <c r="L19" s="52">
        <f t="shared" si="4"/>
        <v>8381.7469881010002</v>
      </c>
      <c r="M19" s="52">
        <f t="shared" si="4"/>
        <v>0</v>
      </c>
      <c r="N19" s="52">
        <f t="shared" si="4"/>
        <v>1004.254865329</v>
      </c>
      <c r="O19" s="52">
        <f t="shared" si="4"/>
        <v>0</v>
      </c>
      <c r="P19" s="52">
        <f t="shared" si="4"/>
        <v>0</v>
      </c>
      <c r="Q19" s="52">
        <f t="shared" si="4"/>
        <v>0</v>
      </c>
      <c r="R19" s="52">
        <f t="shared" si="4"/>
        <v>4.2538135639999997</v>
      </c>
      <c r="S19" s="52">
        <f t="shared" si="4"/>
        <v>1130.291989109</v>
      </c>
      <c r="T19" s="52">
        <f t="shared" si="4"/>
        <v>0</v>
      </c>
      <c r="U19" s="52">
        <f t="shared" si="4"/>
        <v>0</v>
      </c>
      <c r="V19" s="52">
        <f t="shared" si="4"/>
        <v>0</v>
      </c>
      <c r="W19" s="52">
        <f t="shared" si="4"/>
        <v>0</v>
      </c>
      <c r="X19" s="53"/>
      <c r="Y19" s="53"/>
      <c r="Z19" s="53"/>
      <c r="AA19" s="53"/>
    </row>
    <row r="20" spans="1:28">
      <c r="A20" s="1" t="s">
        <v>94</v>
      </c>
      <c r="C20" s="1" t="s">
        <v>2027</v>
      </c>
      <c r="D20" s="55">
        <v>9156448.7511470001</v>
      </c>
      <c r="E20" s="55">
        <v>296594.08857700002</v>
      </c>
      <c r="F20" s="55">
        <v>2170374.6947369999</v>
      </c>
      <c r="G20" s="55">
        <v>3106121.391731</v>
      </c>
      <c r="H20" s="55">
        <v>810665.52121599996</v>
      </c>
      <c r="I20" s="55">
        <v>836108.09256200003</v>
      </c>
      <c r="J20" s="55">
        <v>839801.54130000004</v>
      </c>
      <c r="K20" s="55">
        <v>103408.81775</v>
      </c>
      <c r="L20" s="55">
        <v>2233627.666977</v>
      </c>
      <c r="M20" s="55">
        <v>380928.17331099999</v>
      </c>
      <c r="N20" s="55">
        <v>1521257.663012</v>
      </c>
      <c r="O20" s="55">
        <v>16349958.761608001</v>
      </c>
      <c r="P20" s="55">
        <v>15786145.34529</v>
      </c>
      <c r="Q20" s="55">
        <v>16421654.443948001</v>
      </c>
      <c r="R20" s="55">
        <v>1208080.4922799999</v>
      </c>
      <c r="S20" s="55">
        <v>2239677.128211</v>
      </c>
      <c r="T20" s="55">
        <v>16911181.786361001</v>
      </c>
      <c r="U20" s="55">
        <v>197053.69775699999</v>
      </c>
      <c r="V20" s="55">
        <v>311967.57685200003</v>
      </c>
      <c r="W20" s="55">
        <v>449531.91960700002</v>
      </c>
      <c r="X20" s="55">
        <v>0</v>
      </c>
      <c r="Y20" s="55" t="s">
        <v>2017</v>
      </c>
      <c r="Z20" s="55" t="s">
        <v>2017</v>
      </c>
      <c r="AA20" s="55">
        <v>91330587.554234013</v>
      </c>
    </row>
    <row r="21" spans="1:28">
      <c r="A21" s="1" t="s">
        <v>65</v>
      </c>
      <c r="C21" s="1" t="s">
        <v>64</v>
      </c>
      <c r="D21" s="55">
        <v>0</v>
      </c>
      <c r="E21" s="55">
        <v>0</v>
      </c>
      <c r="F21" s="55">
        <v>5214</v>
      </c>
      <c r="G21" s="55">
        <v>70890</v>
      </c>
      <c r="H21" s="55">
        <v>0</v>
      </c>
      <c r="I21" s="55">
        <v>42725</v>
      </c>
      <c r="J21" s="55">
        <v>84364</v>
      </c>
      <c r="K21" s="55">
        <v>949477</v>
      </c>
      <c r="L21" s="55">
        <v>2619566</v>
      </c>
      <c r="M21" s="55">
        <v>147814</v>
      </c>
      <c r="N21" s="55">
        <v>1184395</v>
      </c>
      <c r="O21" s="55">
        <v>16432</v>
      </c>
      <c r="P21" s="55">
        <v>89355</v>
      </c>
      <c r="Q21" s="55">
        <v>165172</v>
      </c>
      <c r="R21" s="55">
        <v>52171</v>
      </c>
      <c r="S21" s="55">
        <v>81684</v>
      </c>
      <c r="T21" s="55">
        <v>510237</v>
      </c>
      <c r="U21" s="55">
        <v>10554</v>
      </c>
      <c r="V21" s="55">
        <v>0</v>
      </c>
      <c r="W21" s="55">
        <v>66231</v>
      </c>
      <c r="X21" s="55">
        <v>0</v>
      </c>
      <c r="Y21" s="55" t="s">
        <v>2017</v>
      </c>
      <c r="Z21" s="55" t="s">
        <v>2017</v>
      </c>
      <c r="AA21" s="54">
        <v>6096281</v>
      </c>
    </row>
    <row r="22" spans="1:28">
      <c r="A22" s="1" t="s">
        <v>96</v>
      </c>
      <c r="C22" s="1" t="s">
        <v>64</v>
      </c>
      <c r="D22" s="53">
        <v>0</v>
      </c>
      <c r="E22" s="53">
        <v>0</v>
      </c>
      <c r="F22" s="53">
        <v>0</v>
      </c>
      <c r="G22" s="53">
        <v>0</v>
      </c>
      <c r="H22" s="53">
        <v>101.052402</v>
      </c>
      <c r="I22" s="53">
        <v>0</v>
      </c>
      <c r="J22" s="53">
        <v>0</v>
      </c>
      <c r="K22" s="53">
        <v>64763.043294000003</v>
      </c>
      <c r="L22" s="53">
        <v>8381746.988101</v>
      </c>
      <c r="M22" s="53">
        <v>0</v>
      </c>
      <c r="N22" s="53">
        <v>1004254.8653290001</v>
      </c>
      <c r="O22" s="53">
        <v>0</v>
      </c>
      <c r="P22" s="53">
        <v>0</v>
      </c>
      <c r="Q22" s="53">
        <v>0</v>
      </c>
      <c r="R22" s="53">
        <v>4253.813564</v>
      </c>
      <c r="S22" s="53">
        <v>1130291.989109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 t="s">
        <v>2017</v>
      </c>
      <c r="Z22" s="53" t="s">
        <v>2017</v>
      </c>
      <c r="AA22" s="53">
        <v>10585411.751799</v>
      </c>
      <c r="AB22" s="56"/>
    </row>
    <row r="23" spans="1:28"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6"/>
    </row>
    <row r="24" spans="1:28"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</sheetData>
  <mergeCells count="17">
    <mergeCell ref="A1:M1"/>
    <mergeCell ref="N1:AA1"/>
    <mergeCell ref="A13:B13"/>
    <mergeCell ref="A14:B14"/>
    <mergeCell ref="A15:B15"/>
    <mergeCell ref="A6:B6"/>
    <mergeCell ref="A2:B2"/>
    <mergeCell ref="A3:B3"/>
    <mergeCell ref="A4:B4"/>
    <mergeCell ref="A5:B5"/>
    <mergeCell ref="B16:F16"/>
    <mergeCell ref="A7:B7"/>
    <mergeCell ref="A8:B8"/>
    <mergeCell ref="A9:B9"/>
    <mergeCell ref="A10:B10"/>
    <mergeCell ref="A11:B11"/>
    <mergeCell ref="A12:B12"/>
  </mergeCells>
  <printOptions horizontalCentered="1" verticalCentered="1"/>
  <pageMargins left="0" right="0.19685039370078741" top="0.98425196850393704" bottom="0.98425196850393704" header="0" footer="0"/>
  <pageSetup paperSize="9" scale="90" firstPageNumber="22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31"/>
  <sheetViews>
    <sheetView rightToLeft="1" zoomScale="96" zoomScaleNormal="96" workbookViewId="0">
      <selection activeCell="J31" sqref="A1:J31"/>
    </sheetView>
  </sheetViews>
  <sheetFormatPr defaultColWidth="8" defaultRowHeight="24"/>
  <cols>
    <col min="1" max="11" width="9.125" style="57" customWidth="1"/>
    <col min="12" max="16384" width="8" style="57"/>
  </cols>
  <sheetData>
    <row r="1" spans="1:10">
      <c r="A1" s="2882" t="s">
        <v>98</v>
      </c>
      <c r="B1" s="2882"/>
      <c r="C1" s="2882"/>
      <c r="D1" s="2882"/>
      <c r="E1" s="2882"/>
      <c r="F1" s="2882"/>
      <c r="G1" s="2882"/>
      <c r="H1" s="2882"/>
      <c r="I1" s="2882"/>
      <c r="J1" s="2882"/>
    </row>
    <row r="2" spans="1:10" ht="24" customHeight="1"/>
    <row r="3" spans="1:10" ht="24" customHeight="1"/>
    <row r="4" spans="1:10" ht="24" customHeight="1"/>
    <row r="5" spans="1:10" ht="24" customHeight="1"/>
    <row r="6" spans="1:10" ht="24" customHeight="1"/>
    <row r="7" spans="1:10" ht="24" customHeight="1"/>
    <row r="8" spans="1:10" ht="24" customHeight="1"/>
    <row r="9" spans="1:10" ht="24" customHeight="1"/>
    <row r="10" spans="1:10" ht="24" customHeight="1"/>
    <row r="11" spans="1:10" ht="24" customHeight="1"/>
    <row r="12" spans="1:10" ht="24" customHeight="1"/>
    <row r="13" spans="1:10" ht="24" customHeight="1"/>
    <row r="14" spans="1:10" ht="24" customHeight="1"/>
    <row r="15" spans="1:10" ht="24" customHeight="1"/>
    <row r="16" spans="1:10" ht="24" customHeight="1"/>
    <row r="17" spans="11:11" ht="24" customHeight="1"/>
    <row r="18" spans="11:11" ht="24" customHeight="1"/>
    <row r="19" spans="11:11" ht="24" customHeight="1"/>
    <row r="20" spans="11:11" ht="24" customHeight="1">
      <c r="K20" s="58"/>
    </row>
    <row r="21" spans="11:11" ht="24" customHeight="1"/>
    <row r="22" spans="11:11" ht="24" customHeight="1"/>
    <row r="23" spans="11:11" ht="24" customHeight="1"/>
    <row r="24" spans="11:11" ht="24" customHeight="1"/>
    <row r="25" spans="11:11" ht="24" customHeight="1"/>
    <row r="26" spans="11:11" ht="24" customHeight="1"/>
    <row r="27" spans="11:11" ht="24" customHeight="1"/>
    <row r="28" spans="11:11" ht="24" customHeight="1"/>
    <row r="29" spans="11:11" ht="24" customHeight="1"/>
    <row r="30" spans="11:11" ht="24" customHeight="1"/>
    <row r="31" spans="11:11" ht="24" customHeight="1"/>
  </sheetData>
  <mergeCells count="1">
    <mergeCell ref="A1:J1"/>
  </mergeCells>
  <printOptions horizontalCentered="1" verticalCentered="1"/>
  <pageMargins left="0.59055118110236227" right="0.59055118110236227" top="0.78740157480314965" bottom="0.78740157480314965" header="0" footer="0"/>
  <pageSetup paperSize="9" scale="95" firstPageNumber="2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M885"/>
  <sheetViews>
    <sheetView rightToLeft="1" topLeftCell="A276" zoomScaleNormal="100" workbookViewId="0">
      <selection sqref="A1:F302"/>
    </sheetView>
  </sheetViews>
  <sheetFormatPr defaultColWidth="9" defaultRowHeight="18"/>
  <cols>
    <col min="1" max="1" width="11.875" style="71" customWidth="1"/>
    <col min="2" max="2" width="10.375" style="71" customWidth="1"/>
    <col min="3" max="3" width="32.25" style="73" customWidth="1"/>
    <col min="4" max="4" width="8.125" style="73" bestFit="1" customWidth="1"/>
    <col min="5" max="5" width="10.25" style="73" customWidth="1"/>
    <col min="6" max="6" width="14.25" style="73" customWidth="1"/>
    <col min="7" max="8" width="9" style="60"/>
    <col min="9" max="9" width="9.375" style="60" customWidth="1"/>
    <col min="10" max="10" width="17.375" style="60" customWidth="1"/>
    <col min="11" max="11" width="19.25" style="60" customWidth="1"/>
    <col min="12" max="12" width="8.125" style="60" bestFit="1" customWidth="1"/>
    <col min="13" max="13" width="10.125" style="60" customWidth="1"/>
    <col min="14" max="16384" width="9" style="60"/>
  </cols>
  <sheetData>
    <row r="1" spans="1:13" ht="22.5" customHeight="1" thickBot="1">
      <c r="A1" s="2886" t="s">
        <v>2028</v>
      </c>
      <c r="B1" s="2886"/>
      <c r="C1" s="2886"/>
      <c r="D1" s="2886"/>
      <c r="E1" s="2886"/>
      <c r="F1" s="2886"/>
      <c r="G1" s="59"/>
      <c r="H1" s="59"/>
      <c r="I1" s="59"/>
      <c r="J1" s="59"/>
      <c r="K1" s="59"/>
      <c r="L1" s="59"/>
      <c r="M1" s="59"/>
    </row>
    <row r="2" spans="1:13" ht="20.25" customHeight="1" thickBot="1">
      <c r="A2" s="61" t="s">
        <v>99</v>
      </c>
      <c r="B2" s="62" t="s">
        <v>100</v>
      </c>
      <c r="C2" s="63" t="s">
        <v>101</v>
      </c>
      <c r="D2" s="64" t="s">
        <v>102</v>
      </c>
      <c r="E2" s="65" t="s">
        <v>103</v>
      </c>
      <c r="F2" s="66" t="s">
        <v>104</v>
      </c>
      <c r="G2" s="59"/>
      <c r="H2" s="59"/>
      <c r="I2" s="59"/>
      <c r="J2" s="59"/>
      <c r="K2" s="59"/>
      <c r="L2" s="59"/>
      <c r="M2" s="59"/>
    </row>
    <row r="3" spans="1:13" ht="10.5" customHeight="1">
      <c r="A3" s="2644" t="s">
        <v>105</v>
      </c>
      <c r="B3" s="1897" t="s">
        <v>106</v>
      </c>
      <c r="C3" s="1898" t="s">
        <v>107</v>
      </c>
      <c r="D3" s="1896">
        <v>2222</v>
      </c>
      <c r="E3" s="1897">
        <v>140478</v>
      </c>
      <c r="F3" s="1898">
        <v>21071700</v>
      </c>
      <c r="G3" s="59"/>
      <c r="H3" s="59"/>
      <c r="I3" s="59"/>
      <c r="J3" s="59"/>
      <c r="K3" s="59"/>
      <c r="L3" s="59"/>
      <c r="M3" s="59"/>
    </row>
    <row r="4" spans="1:13" ht="10.5" customHeight="1">
      <c r="A4" s="2645" t="s">
        <v>105</v>
      </c>
      <c r="B4" s="1900" t="s">
        <v>106</v>
      </c>
      <c r="C4" s="1901" t="s">
        <v>108</v>
      </c>
      <c r="D4" s="1899">
        <v>195</v>
      </c>
      <c r="E4" s="1900">
        <v>13125</v>
      </c>
      <c r="F4" s="1901">
        <v>1968750</v>
      </c>
      <c r="G4" s="59"/>
      <c r="H4" s="59"/>
      <c r="I4" s="59"/>
      <c r="J4" s="59"/>
      <c r="K4" s="59"/>
      <c r="L4" s="59"/>
      <c r="M4" s="59"/>
    </row>
    <row r="5" spans="1:13" ht="10.5" customHeight="1">
      <c r="A5" s="2645" t="s">
        <v>105</v>
      </c>
      <c r="B5" s="1900" t="s">
        <v>106</v>
      </c>
      <c r="C5" s="1901" t="s">
        <v>109</v>
      </c>
      <c r="D5" s="1899">
        <v>8</v>
      </c>
      <c r="E5" s="1900">
        <v>196</v>
      </c>
      <c r="F5" s="1901">
        <v>29400</v>
      </c>
      <c r="G5" s="59"/>
      <c r="H5" s="59"/>
      <c r="I5" s="59"/>
      <c r="J5" s="59"/>
      <c r="K5" s="59"/>
      <c r="L5" s="59"/>
      <c r="M5" s="59"/>
    </row>
    <row r="6" spans="1:13" ht="10.5" customHeight="1">
      <c r="A6" s="2645" t="s">
        <v>105</v>
      </c>
      <c r="B6" s="1900" t="s">
        <v>106</v>
      </c>
      <c r="C6" s="1901" t="s">
        <v>110</v>
      </c>
      <c r="D6" s="1899">
        <v>1</v>
      </c>
      <c r="E6" s="1900">
        <v>66</v>
      </c>
      <c r="F6" s="1901">
        <v>9900</v>
      </c>
      <c r="G6" s="59"/>
      <c r="H6" s="59"/>
      <c r="I6" s="59"/>
      <c r="J6" s="59"/>
      <c r="K6" s="59"/>
      <c r="L6" s="59"/>
      <c r="M6" s="59"/>
    </row>
    <row r="7" spans="1:13" ht="10.5" customHeight="1">
      <c r="A7" s="2645" t="s">
        <v>105</v>
      </c>
      <c r="B7" s="1900" t="s">
        <v>106</v>
      </c>
      <c r="C7" s="1901" t="s">
        <v>111</v>
      </c>
      <c r="D7" s="1899">
        <v>12</v>
      </c>
      <c r="E7" s="1900">
        <v>600</v>
      </c>
      <c r="F7" s="1901">
        <v>90000</v>
      </c>
      <c r="G7" s="59"/>
      <c r="H7" s="59"/>
      <c r="I7" s="59"/>
      <c r="J7" s="59"/>
      <c r="K7" s="59"/>
      <c r="L7" s="59"/>
      <c r="M7" s="59"/>
    </row>
    <row r="8" spans="1:13" ht="10.5" customHeight="1">
      <c r="A8" s="2645" t="s">
        <v>105</v>
      </c>
      <c r="B8" s="1900" t="s">
        <v>106</v>
      </c>
      <c r="C8" s="1901" t="s">
        <v>112</v>
      </c>
      <c r="D8" s="1899">
        <v>54</v>
      </c>
      <c r="E8" s="1900">
        <v>3235</v>
      </c>
      <c r="F8" s="1901">
        <v>485250</v>
      </c>
      <c r="G8" s="59"/>
      <c r="H8" s="59"/>
      <c r="I8" s="59"/>
      <c r="J8" s="59"/>
      <c r="K8" s="59"/>
      <c r="L8" s="59"/>
      <c r="M8" s="59"/>
    </row>
    <row r="9" spans="1:13" ht="10.5" customHeight="1">
      <c r="A9" s="2645" t="s">
        <v>105</v>
      </c>
      <c r="B9" s="1900" t="s">
        <v>106</v>
      </c>
      <c r="C9" s="1901" t="s">
        <v>113</v>
      </c>
      <c r="D9" s="1899">
        <v>544</v>
      </c>
      <c r="E9" s="1900">
        <v>33472</v>
      </c>
      <c r="F9" s="1901">
        <v>5020800</v>
      </c>
      <c r="G9" s="59"/>
      <c r="H9" s="59"/>
      <c r="I9" s="59"/>
      <c r="J9" s="59"/>
      <c r="K9" s="59"/>
      <c r="L9" s="59"/>
      <c r="M9" s="59"/>
    </row>
    <row r="10" spans="1:13" ht="10.5" customHeight="1">
      <c r="A10" s="2645" t="s">
        <v>105</v>
      </c>
      <c r="B10" s="1900" t="s">
        <v>106</v>
      </c>
      <c r="C10" s="1901" t="s">
        <v>114</v>
      </c>
      <c r="D10" s="1899">
        <v>761</v>
      </c>
      <c r="E10" s="1900">
        <v>51030</v>
      </c>
      <c r="F10" s="1901">
        <v>7654500</v>
      </c>
      <c r="G10" s="59"/>
      <c r="H10" s="59"/>
      <c r="I10" s="59"/>
      <c r="J10" s="59"/>
      <c r="K10" s="59"/>
      <c r="L10" s="59"/>
      <c r="M10" s="59"/>
    </row>
    <row r="11" spans="1:13" ht="10.5" customHeight="1">
      <c r="A11" s="2645" t="s">
        <v>105</v>
      </c>
      <c r="B11" s="1900" t="s">
        <v>106</v>
      </c>
      <c r="C11" s="1901" t="s">
        <v>115</v>
      </c>
      <c r="D11" s="1899">
        <v>4</v>
      </c>
      <c r="E11" s="1900">
        <v>230</v>
      </c>
      <c r="F11" s="1901">
        <v>34500</v>
      </c>
      <c r="G11" s="59"/>
      <c r="H11" s="59"/>
      <c r="I11" s="59"/>
      <c r="J11" s="59"/>
      <c r="K11" s="59"/>
      <c r="L11" s="59"/>
      <c r="M11" s="59"/>
    </row>
    <row r="12" spans="1:13" ht="10.5" customHeight="1">
      <c r="A12" s="2645" t="s">
        <v>105</v>
      </c>
      <c r="B12" s="1900" t="s">
        <v>106</v>
      </c>
      <c r="C12" s="1901" t="s">
        <v>116</v>
      </c>
      <c r="D12" s="1899">
        <v>170</v>
      </c>
      <c r="E12" s="1900">
        <v>9378</v>
      </c>
      <c r="F12" s="1901">
        <v>1406700</v>
      </c>
      <c r="G12" s="59"/>
      <c r="H12" s="59"/>
      <c r="I12" s="59"/>
      <c r="J12" s="59"/>
      <c r="K12" s="59"/>
      <c r="L12" s="59"/>
      <c r="M12" s="59"/>
    </row>
    <row r="13" spans="1:13" ht="10.5" customHeight="1">
      <c r="A13" s="2645" t="s">
        <v>105</v>
      </c>
      <c r="B13" s="1900" t="s">
        <v>106</v>
      </c>
      <c r="C13" s="1901" t="s">
        <v>117</v>
      </c>
      <c r="D13" s="1899">
        <v>7</v>
      </c>
      <c r="E13" s="1900">
        <v>445</v>
      </c>
      <c r="F13" s="1901">
        <v>66750</v>
      </c>
      <c r="G13" s="59"/>
      <c r="H13" s="59"/>
      <c r="I13" s="59"/>
      <c r="J13" s="59"/>
      <c r="K13" s="59"/>
      <c r="L13" s="59"/>
      <c r="M13" s="59"/>
    </row>
    <row r="14" spans="1:13" ht="10.5" customHeight="1">
      <c r="A14" s="2645" t="s">
        <v>105</v>
      </c>
      <c r="B14" s="1900" t="s">
        <v>106</v>
      </c>
      <c r="C14" s="1901" t="s">
        <v>118</v>
      </c>
      <c r="D14" s="1899">
        <v>52</v>
      </c>
      <c r="E14" s="1900">
        <v>3515</v>
      </c>
      <c r="F14" s="1901">
        <v>527250</v>
      </c>
      <c r="G14" s="59"/>
      <c r="H14" s="59"/>
      <c r="I14" s="59"/>
      <c r="J14" s="59"/>
      <c r="K14" s="59"/>
      <c r="L14" s="59"/>
      <c r="M14" s="59"/>
    </row>
    <row r="15" spans="1:13" ht="10.5" customHeight="1">
      <c r="A15" s="2645" t="s">
        <v>105</v>
      </c>
      <c r="B15" s="1900" t="s">
        <v>106</v>
      </c>
      <c r="C15" s="1901" t="s">
        <v>119</v>
      </c>
      <c r="D15" s="1899">
        <v>55</v>
      </c>
      <c r="E15" s="1900">
        <v>3717</v>
      </c>
      <c r="F15" s="1901">
        <v>557550</v>
      </c>
      <c r="G15" s="59"/>
      <c r="H15" s="59"/>
      <c r="I15" s="59"/>
      <c r="J15" s="59"/>
      <c r="K15" s="59"/>
      <c r="L15" s="59"/>
      <c r="M15" s="59"/>
    </row>
    <row r="16" spans="1:13" ht="10.5" customHeight="1">
      <c r="A16" s="2645" t="s">
        <v>105</v>
      </c>
      <c r="B16" s="1900" t="s">
        <v>106</v>
      </c>
      <c r="C16" s="1901" t="s">
        <v>120</v>
      </c>
      <c r="D16" s="1899">
        <v>2</v>
      </c>
      <c r="E16" s="1900">
        <v>130</v>
      </c>
      <c r="F16" s="1901">
        <v>19500</v>
      </c>
      <c r="G16" s="59"/>
      <c r="H16" s="59"/>
      <c r="I16" s="59"/>
      <c r="J16" s="59"/>
      <c r="K16" s="59"/>
      <c r="L16" s="59"/>
      <c r="M16" s="59"/>
    </row>
    <row r="17" spans="1:13" ht="10.5" customHeight="1">
      <c r="A17" s="2645" t="s">
        <v>105</v>
      </c>
      <c r="B17" s="1900" t="s">
        <v>106</v>
      </c>
      <c r="C17" s="1901" t="s">
        <v>121</v>
      </c>
      <c r="D17" s="1899">
        <v>472</v>
      </c>
      <c r="E17" s="1900">
        <v>31375</v>
      </c>
      <c r="F17" s="1901">
        <v>4706250</v>
      </c>
      <c r="G17" s="59"/>
      <c r="H17" s="59"/>
      <c r="I17" s="59"/>
      <c r="J17" s="59"/>
      <c r="K17" s="59"/>
      <c r="L17" s="59"/>
      <c r="M17" s="59"/>
    </row>
    <row r="18" spans="1:13" ht="10.5" customHeight="1">
      <c r="A18" s="2645" t="s">
        <v>105</v>
      </c>
      <c r="B18" s="1900" t="s">
        <v>106</v>
      </c>
      <c r="C18" s="1901" t="s">
        <v>122</v>
      </c>
      <c r="D18" s="1899">
        <v>5</v>
      </c>
      <c r="E18" s="1900">
        <v>273</v>
      </c>
      <c r="F18" s="1901">
        <v>40950</v>
      </c>
      <c r="G18" s="59"/>
      <c r="H18" s="59"/>
      <c r="I18" s="59"/>
      <c r="J18" s="59"/>
      <c r="K18" s="59"/>
      <c r="L18" s="59"/>
      <c r="M18" s="59"/>
    </row>
    <row r="19" spans="1:13" ht="10.5" customHeight="1">
      <c r="A19" s="2645" t="s">
        <v>105</v>
      </c>
      <c r="B19" s="1900" t="s">
        <v>106</v>
      </c>
      <c r="C19" s="1901" t="s">
        <v>123</v>
      </c>
      <c r="D19" s="1899">
        <v>23</v>
      </c>
      <c r="E19" s="1900">
        <v>1388</v>
      </c>
      <c r="F19" s="1901">
        <v>208200</v>
      </c>
      <c r="G19" s="59"/>
      <c r="H19" s="59"/>
      <c r="I19" s="59"/>
      <c r="J19" s="59"/>
      <c r="K19" s="59"/>
      <c r="L19" s="59"/>
      <c r="M19" s="59"/>
    </row>
    <row r="20" spans="1:13" ht="10.5" customHeight="1">
      <c r="A20" s="2645" t="s">
        <v>105</v>
      </c>
      <c r="B20" s="1900" t="s">
        <v>106</v>
      </c>
      <c r="C20" s="1901" t="s">
        <v>124</v>
      </c>
      <c r="D20" s="1899">
        <v>1</v>
      </c>
      <c r="E20" s="1900">
        <v>68</v>
      </c>
      <c r="F20" s="1901">
        <v>10200</v>
      </c>
      <c r="G20" s="59"/>
      <c r="H20" s="59"/>
      <c r="I20" s="59"/>
      <c r="J20" s="59"/>
      <c r="K20" s="59"/>
      <c r="L20" s="59"/>
      <c r="M20" s="59"/>
    </row>
    <row r="21" spans="1:13" ht="10.5" customHeight="1">
      <c r="A21" s="2645" t="s">
        <v>105</v>
      </c>
      <c r="B21" s="1900" t="s">
        <v>106</v>
      </c>
      <c r="C21" s="1901" t="s">
        <v>125</v>
      </c>
      <c r="D21" s="1899">
        <v>5</v>
      </c>
      <c r="E21" s="1900">
        <v>291</v>
      </c>
      <c r="F21" s="1901">
        <v>43650</v>
      </c>
      <c r="G21" s="59"/>
      <c r="H21" s="59"/>
      <c r="I21" s="59"/>
      <c r="J21" s="59"/>
      <c r="K21" s="59"/>
      <c r="L21" s="59"/>
      <c r="M21" s="59"/>
    </row>
    <row r="22" spans="1:13" ht="10.5" customHeight="1">
      <c r="A22" s="2645" t="s">
        <v>105</v>
      </c>
      <c r="B22" s="1900" t="s">
        <v>106</v>
      </c>
      <c r="C22" s="1901" t="s">
        <v>126</v>
      </c>
      <c r="D22" s="1899">
        <v>2</v>
      </c>
      <c r="E22" s="1900">
        <v>125</v>
      </c>
      <c r="F22" s="1901">
        <v>18750</v>
      </c>
      <c r="G22" s="59"/>
      <c r="H22" s="59"/>
      <c r="I22" s="59"/>
      <c r="J22" s="59"/>
      <c r="K22" s="59"/>
      <c r="L22" s="59"/>
      <c r="M22" s="59"/>
    </row>
    <row r="23" spans="1:13" ht="10.5" customHeight="1">
      <c r="A23" s="2645" t="s">
        <v>105</v>
      </c>
      <c r="B23" s="1900" t="s">
        <v>106</v>
      </c>
      <c r="C23" s="1901" t="s">
        <v>127</v>
      </c>
      <c r="D23" s="1899">
        <v>68</v>
      </c>
      <c r="E23" s="1900">
        <v>4475</v>
      </c>
      <c r="F23" s="1901">
        <v>671250</v>
      </c>
      <c r="G23" s="59"/>
      <c r="H23" s="59"/>
      <c r="I23" s="59"/>
      <c r="J23" s="59"/>
      <c r="K23" s="59"/>
      <c r="L23" s="59"/>
      <c r="M23" s="59"/>
    </row>
    <row r="24" spans="1:13" ht="10.5" customHeight="1">
      <c r="A24" s="2645" t="s">
        <v>105</v>
      </c>
      <c r="B24" s="1900" t="s">
        <v>106</v>
      </c>
      <c r="C24" s="1901" t="s">
        <v>128</v>
      </c>
      <c r="D24" s="1899">
        <v>6</v>
      </c>
      <c r="E24" s="1900">
        <v>402</v>
      </c>
      <c r="F24" s="1901">
        <v>60300</v>
      </c>
      <c r="G24" s="59"/>
      <c r="H24" s="59"/>
      <c r="I24" s="59"/>
      <c r="J24" s="59"/>
      <c r="K24" s="59"/>
      <c r="L24" s="59"/>
      <c r="M24" s="59"/>
    </row>
    <row r="25" spans="1:13" ht="10.5" customHeight="1">
      <c r="A25" s="2645" t="s">
        <v>105</v>
      </c>
      <c r="B25" s="1900" t="s">
        <v>106</v>
      </c>
      <c r="C25" s="1901" t="s">
        <v>129</v>
      </c>
      <c r="D25" s="1899">
        <v>2</v>
      </c>
      <c r="E25" s="1900">
        <v>130</v>
      </c>
      <c r="F25" s="1901">
        <v>19500</v>
      </c>
      <c r="G25" s="59"/>
      <c r="H25" s="59"/>
      <c r="I25" s="59"/>
      <c r="J25" s="59"/>
      <c r="K25" s="59"/>
      <c r="L25" s="59"/>
      <c r="M25" s="59"/>
    </row>
    <row r="26" spans="1:13" ht="10.5" customHeight="1">
      <c r="A26" s="2645" t="s">
        <v>105</v>
      </c>
      <c r="B26" s="1900" t="s">
        <v>106</v>
      </c>
      <c r="C26" s="1901" t="s">
        <v>130</v>
      </c>
      <c r="D26" s="1899">
        <v>10</v>
      </c>
      <c r="E26" s="1900">
        <v>643</v>
      </c>
      <c r="F26" s="1901">
        <v>96450</v>
      </c>
      <c r="G26" s="59"/>
      <c r="H26" s="59"/>
      <c r="I26" s="59"/>
      <c r="J26" s="59"/>
      <c r="K26" s="59"/>
      <c r="L26" s="59"/>
      <c r="M26" s="59"/>
    </row>
    <row r="27" spans="1:13" ht="10.5" customHeight="1">
      <c r="A27" s="2883" t="s">
        <v>131</v>
      </c>
      <c r="B27" s="2884"/>
      <c r="C27" s="2885"/>
      <c r="D27" s="1902">
        <f>SUM(D3:D26)</f>
        <v>4681</v>
      </c>
      <c r="E27" s="1903">
        <f>SUM(E3:E26)</f>
        <v>298787</v>
      </c>
      <c r="F27" s="1904">
        <f>SUM(F3:F26)</f>
        <v>44818050</v>
      </c>
      <c r="G27" s="59"/>
      <c r="H27" s="59"/>
      <c r="I27" s="59"/>
      <c r="J27" s="59"/>
      <c r="K27" s="59"/>
      <c r="L27" s="59"/>
      <c r="M27" s="59"/>
    </row>
    <row r="28" spans="1:13" ht="10.5" customHeight="1">
      <c r="A28" s="2645" t="s">
        <v>132</v>
      </c>
      <c r="B28" s="1899" t="s">
        <v>133</v>
      </c>
      <c r="C28" s="1901" t="s">
        <v>134</v>
      </c>
      <c r="D28" s="1899">
        <v>4</v>
      </c>
      <c r="E28" s="1900">
        <v>100</v>
      </c>
      <c r="F28" s="1901">
        <v>203469</v>
      </c>
      <c r="G28" s="59"/>
      <c r="H28" s="59"/>
      <c r="I28" s="59"/>
      <c r="J28" s="59"/>
      <c r="K28" s="59"/>
      <c r="L28" s="59"/>
      <c r="M28" s="59"/>
    </row>
    <row r="29" spans="1:13" ht="10.5" customHeight="1">
      <c r="A29" s="2645" t="s">
        <v>132</v>
      </c>
      <c r="B29" s="1899" t="s">
        <v>133</v>
      </c>
      <c r="C29" s="1901" t="s">
        <v>109</v>
      </c>
      <c r="D29" s="1899">
        <v>11</v>
      </c>
      <c r="E29" s="1900">
        <v>394</v>
      </c>
      <c r="F29" s="1901">
        <v>801667</v>
      </c>
      <c r="G29" s="59"/>
      <c r="H29" s="59"/>
      <c r="I29" s="59"/>
      <c r="J29" s="59"/>
      <c r="K29" s="59"/>
      <c r="L29" s="59"/>
      <c r="M29" s="59"/>
    </row>
    <row r="30" spans="1:13" ht="10.5" customHeight="1">
      <c r="A30" s="2645" t="s">
        <v>132</v>
      </c>
      <c r="B30" s="1899" t="s">
        <v>133</v>
      </c>
      <c r="C30" s="1901" t="s">
        <v>135</v>
      </c>
      <c r="D30" s="1899">
        <v>3</v>
      </c>
      <c r="E30" s="1900">
        <v>156</v>
      </c>
      <c r="F30" s="1901">
        <v>317411</v>
      </c>
      <c r="G30" s="59"/>
      <c r="H30" s="59"/>
      <c r="I30" s="59"/>
      <c r="J30" s="59"/>
      <c r="K30" s="59"/>
      <c r="L30" s="59"/>
      <c r="M30" s="59"/>
    </row>
    <row r="31" spans="1:13" ht="10.5" customHeight="1">
      <c r="A31" s="2645" t="s">
        <v>132</v>
      </c>
      <c r="B31" s="1899" t="s">
        <v>133</v>
      </c>
      <c r="C31" s="1901" t="s">
        <v>136</v>
      </c>
      <c r="D31" s="1899">
        <v>1</v>
      </c>
      <c r="E31" s="1900">
        <v>14</v>
      </c>
      <c r="F31" s="1901">
        <v>28486</v>
      </c>
      <c r="G31" s="59"/>
      <c r="H31" s="59"/>
      <c r="I31" s="59"/>
      <c r="J31" s="59"/>
      <c r="K31" s="59"/>
      <c r="L31" s="59"/>
      <c r="M31" s="59"/>
    </row>
    <row r="32" spans="1:13" ht="10.5" customHeight="1">
      <c r="A32" s="2645" t="s">
        <v>132</v>
      </c>
      <c r="B32" s="1899" t="s">
        <v>133</v>
      </c>
      <c r="C32" s="1901" t="s">
        <v>137</v>
      </c>
      <c r="D32" s="1899">
        <v>4</v>
      </c>
      <c r="E32" s="1900">
        <v>162</v>
      </c>
      <c r="F32" s="1901">
        <v>329619</v>
      </c>
      <c r="G32" s="59"/>
      <c r="H32" s="59"/>
      <c r="I32" s="59"/>
      <c r="J32" s="59"/>
      <c r="K32" s="59"/>
      <c r="L32" s="59"/>
      <c r="M32" s="59"/>
    </row>
    <row r="33" spans="1:13" ht="10.5" customHeight="1">
      <c r="A33" s="2645" t="s">
        <v>132</v>
      </c>
      <c r="B33" s="1899" t="s">
        <v>133</v>
      </c>
      <c r="C33" s="1901" t="s">
        <v>138</v>
      </c>
      <c r="D33" s="1899">
        <v>35</v>
      </c>
      <c r="E33" s="1900">
        <v>1623</v>
      </c>
      <c r="F33" s="1901">
        <v>3302299</v>
      </c>
      <c r="G33" s="59"/>
      <c r="H33" s="59"/>
      <c r="I33" s="59"/>
      <c r="J33" s="59"/>
      <c r="K33" s="59"/>
      <c r="L33" s="59"/>
      <c r="M33" s="59"/>
    </row>
    <row r="34" spans="1:13" ht="10.5" customHeight="1">
      <c r="A34" s="2645" t="s">
        <v>132</v>
      </c>
      <c r="B34" s="1899" t="s">
        <v>133</v>
      </c>
      <c r="C34" s="1901" t="s">
        <v>139</v>
      </c>
      <c r="D34" s="1899">
        <v>6</v>
      </c>
      <c r="E34" s="1900">
        <v>185</v>
      </c>
      <c r="F34" s="1901">
        <v>376417</v>
      </c>
      <c r="G34" s="59"/>
      <c r="H34" s="59"/>
      <c r="I34" s="59"/>
      <c r="J34" s="59"/>
      <c r="K34" s="59"/>
      <c r="L34" s="59"/>
      <c r="M34" s="59"/>
    </row>
    <row r="35" spans="1:13" ht="10.5" customHeight="1">
      <c r="A35" s="2645" t="s">
        <v>132</v>
      </c>
      <c r="B35" s="1899" t="s">
        <v>133</v>
      </c>
      <c r="C35" s="1901" t="s">
        <v>140</v>
      </c>
      <c r="D35" s="1899">
        <v>3</v>
      </c>
      <c r="E35" s="1900">
        <v>116</v>
      </c>
      <c r="F35" s="1901">
        <v>236024</v>
      </c>
      <c r="G35" s="59"/>
      <c r="H35" s="59"/>
      <c r="I35" s="59"/>
      <c r="J35" s="59"/>
      <c r="K35" s="59"/>
      <c r="L35" s="59"/>
      <c r="M35" s="59"/>
    </row>
    <row r="36" spans="1:13" ht="10.5" customHeight="1">
      <c r="A36" s="2645" t="s">
        <v>132</v>
      </c>
      <c r="B36" s="1899" t="s">
        <v>133</v>
      </c>
      <c r="C36" s="1901" t="s">
        <v>110</v>
      </c>
      <c r="D36" s="1899">
        <v>9</v>
      </c>
      <c r="E36" s="1900">
        <v>357</v>
      </c>
      <c r="F36" s="1901">
        <v>726384</v>
      </c>
      <c r="G36" s="59"/>
      <c r="H36" s="59"/>
      <c r="I36" s="59"/>
      <c r="J36" s="59"/>
      <c r="K36" s="59"/>
      <c r="L36" s="59"/>
      <c r="M36" s="59"/>
    </row>
    <row r="37" spans="1:13" ht="10.5" customHeight="1">
      <c r="A37" s="2645" t="s">
        <v>132</v>
      </c>
      <c r="B37" s="1899" t="s">
        <v>133</v>
      </c>
      <c r="C37" s="1901" t="s">
        <v>141</v>
      </c>
      <c r="D37" s="1899">
        <v>1</v>
      </c>
      <c r="E37" s="1900">
        <v>18</v>
      </c>
      <c r="F37" s="1901">
        <v>36624</v>
      </c>
      <c r="G37" s="59"/>
      <c r="H37" s="59"/>
      <c r="I37" s="59"/>
      <c r="J37" s="59"/>
      <c r="K37" s="59"/>
      <c r="L37" s="59"/>
      <c r="M37" s="59"/>
    </row>
    <row r="38" spans="1:13" ht="10.5" customHeight="1">
      <c r="A38" s="2645" t="s">
        <v>132</v>
      </c>
      <c r="B38" s="1899" t="s">
        <v>133</v>
      </c>
      <c r="C38" s="1901" t="s">
        <v>115</v>
      </c>
      <c r="D38" s="1899">
        <v>1004</v>
      </c>
      <c r="E38" s="1900">
        <v>43228</v>
      </c>
      <c r="F38" s="1901">
        <v>87955492</v>
      </c>
      <c r="G38" s="59"/>
      <c r="H38" s="59"/>
      <c r="I38" s="59"/>
      <c r="J38" s="59"/>
      <c r="K38" s="59"/>
      <c r="L38" s="59"/>
      <c r="M38" s="59"/>
    </row>
    <row r="39" spans="1:13" ht="10.5" customHeight="1">
      <c r="A39" s="2645" t="s">
        <v>132</v>
      </c>
      <c r="B39" s="1899" t="s">
        <v>133</v>
      </c>
      <c r="C39" s="1901" t="s">
        <v>142</v>
      </c>
      <c r="D39" s="1899">
        <v>2</v>
      </c>
      <c r="E39" s="1900">
        <v>99</v>
      </c>
      <c r="F39" s="1901">
        <v>201434</v>
      </c>
      <c r="G39" s="59"/>
      <c r="H39" s="59"/>
      <c r="I39" s="59"/>
      <c r="J39" s="59"/>
      <c r="K39" s="59"/>
      <c r="L39" s="59"/>
      <c r="M39" s="59"/>
    </row>
    <row r="40" spans="1:13" ht="10.5" customHeight="1">
      <c r="A40" s="2645" t="s">
        <v>132</v>
      </c>
      <c r="B40" s="1899" t="s">
        <v>133</v>
      </c>
      <c r="C40" s="1901" t="s">
        <v>143</v>
      </c>
      <c r="D40" s="1899">
        <v>1</v>
      </c>
      <c r="E40" s="1900">
        <v>53</v>
      </c>
      <c r="F40" s="1901">
        <v>107838</v>
      </c>
      <c r="G40" s="59"/>
      <c r="H40" s="59"/>
      <c r="I40" s="59"/>
      <c r="J40" s="59"/>
      <c r="K40" s="59"/>
      <c r="L40" s="59"/>
      <c r="M40" s="59"/>
    </row>
    <row r="41" spans="1:13" ht="10.5" customHeight="1">
      <c r="A41" s="2645" t="s">
        <v>132</v>
      </c>
      <c r="B41" s="1899" t="s">
        <v>133</v>
      </c>
      <c r="C41" s="1901" t="s">
        <v>144</v>
      </c>
      <c r="D41" s="1899">
        <v>2</v>
      </c>
      <c r="E41" s="1900">
        <v>82</v>
      </c>
      <c r="F41" s="1901">
        <v>166844</v>
      </c>
      <c r="G41" s="59"/>
      <c r="H41" s="59"/>
      <c r="I41" s="59"/>
      <c r="J41" s="59"/>
      <c r="K41" s="59"/>
      <c r="L41" s="59"/>
      <c r="M41" s="59"/>
    </row>
    <row r="42" spans="1:13" ht="10.5" customHeight="1">
      <c r="A42" s="2645" t="s">
        <v>132</v>
      </c>
      <c r="B42" s="1899" t="s">
        <v>133</v>
      </c>
      <c r="C42" s="1901" t="s">
        <v>145</v>
      </c>
      <c r="D42" s="1899">
        <v>4</v>
      </c>
      <c r="E42" s="1900">
        <v>203</v>
      </c>
      <c r="F42" s="1901">
        <v>413042</v>
      </c>
      <c r="G42" s="59"/>
      <c r="H42" s="59"/>
      <c r="I42" s="59"/>
      <c r="J42" s="59"/>
      <c r="K42" s="59"/>
      <c r="L42" s="59"/>
      <c r="M42" s="59"/>
    </row>
    <row r="43" spans="1:13" ht="10.5" customHeight="1">
      <c r="A43" s="2645" t="s">
        <v>132</v>
      </c>
      <c r="B43" s="1899" t="s">
        <v>133</v>
      </c>
      <c r="C43" s="1901" t="s">
        <v>146</v>
      </c>
      <c r="D43" s="1899">
        <v>5</v>
      </c>
      <c r="E43" s="1900">
        <v>251</v>
      </c>
      <c r="F43" s="1901">
        <v>510707</v>
      </c>
      <c r="G43" s="59"/>
      <c r="H43" s="59"/>
      <c r="I43" s="59"/>
      <c r="J43" s="59"/>
      <c r="K43" s="59"/>
      <c r="L43" s="59"/>
      <c r="M43" s="59"/>
    </row>
    <row r="44" spans="1:13" ht="10.5" customHeight="1">
      <c r="A44" s="2645" t="s">
        <v>132</v>
      </c>
      <c r="B44" s="1899" t="s">
        <v>133</v>
      </c>
      <c r="C44" s="1901" t="s">
        <v>147</v>
      </c>
      <c r="D44" s="1899">
        <v>29</v>
      </c>
      <c r="E44" s="1900">
        <v>1399</v>
      </c>
      <c r="F44" s="1901">
        <v>2846528</v>
      </c>
      <c r="G44" s="59"/>
      <c r="H44" s="59"/>
      <c r="I44" s="59"/>
      <c r="J44" s="59"/>
      <c r="K44" s="59"/>
      <c r="L44" s="59"/>
      <c r="M44" s="59"/>
    </row>
    <row r="45" spans="1:13" ht="10.5" customHeight="1">
      <c r="A45" s="2645" t="s">
        <v>132</v>
      </c>
      <c r="B45" s="1899" t="s">
        <v>133</v>
      </c>
      <c r="C45" s="1901" t="s">
        <v>148</v>
      </c>
      <c r="D45" s="1899">
        <v>20</v>
      </c>
      <c r="E45" s="1900">
        <v>319</v>
      </c>
      <c r="F45" s="1901">
        <v>649065</v>
      </c>
      <c r="G45" s="59"/>
      <c r="H45" s="59"/>
      <c r="I45" s="59"/>
      <c r="J45" s="59"/>
      <c r="K45" s="59"/>
      <c r="L45" s="59"/>
      <c r="M45" s="59"/>
    </row>
    <row r="46" spans="1:13" ht="10.5" customHeight="1">
      <c r="A46" s="2645" t="s">
        <v>132</v>
      </c>
      <c r="B46" s="1899" t="s">
        <v>133</v>
      </c>
      <c r="C46" s="1901" t="s">
        <v>149</v>
      </c>
      <c r="D46" s="1899">
        <v>17</v>
      </c>
      <c r="E46" s="1900">
        <v>238</v>
      </c>
      <c r="F46" s="1901">
        <v>484256</v>
      </c>
      <c r="G46" s="59"/>
      <c r="H46" s="59"/>
      <c r="I46" s="59"/>
      <c r="J46" s="59"/>
      <c r="K46" s="59"/>
      <c r="L46" s="59"/>
      <c r="M46" s="59"/>
    </row>
    <row r="47" spans="1:13" ht="10.5" customHeight="1">
      <c r="A47" s="2645" t="s">
        <v>132</v>
      </c>
      <c r="B47" s="1899" t="s">
        <v>133</v>
      </c>
      <c r="C47" s="1901" t="s">
        <v>150</v>
      </c>
      <c r="D47" s="1899">
        <v>2</v>
      </c>
      <c r="E47" s="1900">
        <v>91</v>
      </c>
      <c r="F47" s="1901">
        <v>185157</v>
      </c>
      <c r="G47" s="59"/>
      <c r="H47" s="59"/>
      <c r="I47" s="59"/>
      <c r="J47" s="59"/>
      <c r="K47" s="59"/>
      <c r="L47" s="59"/>
      <c r="M47" s="59"/>
    </row>
    <row r="48" spans="1:13" ht="10.5" customHeight="1">
      <c r="A48" s="2645" t="s">
        <v>132</v>
      </c>
      <c r="B48" s="1899" t="s">
        <v>133</v>
      </c>
      <c r="C48" s="1901" t="s">
        <v>151</v>
      </c>
      <c r="D48" s="1899">
        <v>9</v>
      </c>
      <c r="E48" s="1900">
        <v>275</v>
      </c>
      <c r="F48" s="1901">
        <v>559539</v>
      </c>
      <c r="G48" s="59"/>
      <c r="H48" s="59"/>
      <c r="I48" s="59"/>
      <c r="J48" s="59"/>
      <c r="K48" s="59"/>
      <c r="L48" s="59"/>
      <c r="M48" s="59"/>
    </row>
    <row r="49" spans="1:13" ht="10.5" customHeight="1">
      <c r="A49" s="2645" t="s">
        <v>132</v>
      </c>
      <c r="B49" s="1899" t="s">
        <v>133</v>
      </c>
      <c r="C49" s="1901" t="s">
        <v>125</v>
      </c>
      <c r="D49" s="1899">
        <v>9</v>
      </c>
      <c r="E49" s="1900">
        <v>204</v>
      </c>
      <c r="F49" s="1901">
        <v>415076</v>
      </c>
      <c r="G49" s="59"/>
      <c r="H49" s="59"/>
      <c r="I49" s="59"/>
      <c r="J49" s="59"/>
      <c r="K49" s="59"/>
      <c r="L49" s="59"/>
      <c r="M49" s="59"/>
    </row>
    <row r="50" spans="1:13" ht="10.5" customHeight="1">
      <c r="A50" s="2645" t="s">
        <v>132</v>
      </c>
      <c r="B50" s="1899" t="s">
        <v>133</v>
      </c>
      <c r="C50" s="1901" t="s">
        <v>152</v>
      </c>
      <c r="D50" s="1899">
        <v>1</v>
      </c>
      <c r="E50" s="1900">
        <v>50</v>
      </c>
      <c r="F50" s="1901">
        <v>101734</v>
      </c>
      <c r="G50" s="59"/>
      <c r="H50" s="59"/>
      <c r="I50" s="59"/>
      <c r="J50" s="59"/>
      <c r="K50" s="59"/>
      <c r="L50" s="59"/>
      <c r="M50" s="59"/>
    </row>
    <row r="51" spans="1:13" ht="10.5" customHeight="1">
      <c r="A51" s="2645" t="s">
        <v>132</v>
      </c>
      <c r="B51" s="1899" t="s">
        <v>133</v>
      </c>
      <c r="C51" s="1901" t="s">
        <v>153</v>
      </c>
      <c r="D51" s="1899">
        <v>8</v>
      </c>
      <c r="E51" s="1900">
        <v>283</v>
      </c>
      <c r="F51" s="1901">
        <v>575817</v>
      </c>
      <c r="G51" s="59"/>
      <c r="H51" s="59"/>
      <c r="I51" s="59"/>
      <c r="J51" s="59"/>
      <c r="K51" s="59"/>
      <c r="L51" s="59"/>
      <c r="M51" s="59"/>
    </row>
    <row r="52" spans="1:13" ht="10.5" customHeight="1">
      <c r="A52" s="2645" t="s">
        <v>132</v>
      </c>
      <c r="B52" s="1899" t="s">
        <v>133</v>
      </c>
      <c r="C52" s="1901" t="s">
        <v>154</v>
      </c>
      <c r="D52" s="1899">
        <v>78</v>
      </c>
      <c r="E52" s="1900">
        <v>3994</v>
      </c>
      <c r="F52" s="1901">
        <v>8126544</v>
      </c>
      <c r="G52" s="59"/>
      <c r="H52" s="59"/>
      <c r="I52" s="59"/>
      <c r="J52" s="59"/>
      <c r="K52" s="59"/>
      <c r="L52" s="59"/>
      <c r="M52" s="59"/>
    </row>
    <row r="53" spans="1:13" ht="10.5" customHeight="1">
      <c r="A53" s="2645" t="s">
        <v>132</v>
      </c>
      <c r="B53" s="1899" t="s">
        <v>133</v>
      </c>
      <c r="C53" s="1901" t="s">
        <v>155</v>
      </c>
      <c r="D53" s="1899">
        <v>1</v>
      </c>
      <c r="E53" s="1900">
        <v>28</v>
      </c>
      <c r="F53" s="1901">
        <v>56971</v>
      </c>
      <c r="G53" s="59"/>
      <c r="H53" s="59"/>
      <c r="I53" s="59"/>
      <c r="J53" s="59"/>
      <c r="K53" s="59"/>
      <c r="L53" s="59"/>
      <c r="M53" s="59"/>
    </row>
    <row r="54" spans="1:13" ht="10.5" customHeight="1">
      <c r="A54" s="2645" t="s">
        <v>132</v>
      </c>
      <c r="B54" s="1899" t="s">
        <v>133</v>
      </c>
      <c r="C54" s="1901" t="s">
        <v>156</v>
      </c>
      <c r="D54" s="1899">
        <v>126</v>
      </c>
      <c r="E54" s="1900">
        <v>1816</v>
      </c>
      <c r="F54" s="1901">
        <v>3694993</v>
      </c>
      <c r="G54" s="59"/>
      <c r="H54" s="59"/>
      <c r="I54" s="59"/>
      <c r="J54" s="59"/>
      <c r="K54" s="59"/>
      <c r="L54" s="59"/>
      <c r="M54" s="59"/>
    </row>
    <row r="55" spans="1:13" ht="10.5" customHeight="1">
      <c r="A55" s="2645" t="s">
        <v>132</v>
      </c>
      <c r="B55" s="1899" t="s">
        <v>133</v>
      </c>
      <c r="C55" s="1901" t="s">
        <v>157</v>
      </c>
      <c r="D55" s="1899">
        <v>33</v>
      </c>
      <c r="E55" s="1900">
        <v>1483</v>
      </c>
      <c r="F55" s="1901">
        <v>3017442</v>
      </c>
      <c r="G55" s="59"/>
      <c r="H55" s="59"/>
      <c r="I55" s="59"/>
      <c r="J55" s="59"/>
      <c r="K55" s="59"/>
      <c r="L55" s="59"/>
      <c r="M55" s="59"/>
    </row>
    <row r="56" spans="1:13" ht="10.5" customHeight="1">
      <c r="A56" s="2645" t="s">
        <v>132</v>
      </c>
      <c r="B56" s="1899" t="s">
        <v>133</v>
      </c>
      <c r="C56" s="1901" t="s">
        <v>158</v>
      </c>
      <c r="D56" s="1899">
        <v>9</v>
      </c>
      <c r="E56" s="1900">
        <v>450</v>
      </c>
      <c r="F56" s="1901">
        <v>915610</v>
      </c>
      <c r="G56" s="59"/>
      <c r="H56" s="59"/>
      <c r="I56" s="59"/>
      <c r="J56" s="59"/>
      <c r="K56" s="59"/>
      <c r="L56" s="59"/>
      <c r="M56" s="59"/>
    </row>
    <row r="57" spans="1:13" ht="10.5" customHeight="1">
      <c r="A57" s="2645" t="s">
        <v>132</v>
      </c>
      <c r="B57" s="1899" t="s">
        <v>133</v>
      </c>
      <c r="C57" s="1901" t="s">
        <v>129</v>
      </c>
      <c r="D57" s="1899">
        <v>17</v>
      </c>
      <c r="E57" s="1900">
        <v>727</v>
      </c>
      <c r="F57" s="1901">
        <v>1479218</v>
      </c>
      <c r="G57" s="59"/>
      <c r="H57" s="59"/>
      <c r="I57" s="59"/>
      <c r="J57" s="59"/>
      <c r="K57" s="59"/>
      <c r="L57" s="59"/>
      <c r="M57" s="59"/>
    </row>
    <row r="58" spans="1:13" ht="10.5" customHeight="1">
      <c r="A58" s="2645" t="s">
        <v>132</v>
      </c>
      <c r="B58" s="1899" t="s">
        <v>133</v>
      </c>
      <c r="C58" s="1901" t="s">
        <v>159</v>
      </c>
      <c r="D58" s="1899">
        <v>7</v>
      </c>
      <c r="E58" s="1900">
        <v>333</v>
      </c>
      <c r="F58" s="1901">
        <v>677551</v>
      </c>
      <c r="G58" s="59"/>
      <c r="H58" s="59"/>
      <c r="I58" s="59"/>
      <c r="J58" s="59"/>
      <c r="K58" s="59"/>
      <c r="L58" s="59"/>
      <c r="M58" s="59"/>
    </row>
    <row r="59" spans="1:13" ht="10.5" customHeight="1">
      <c r="A59" s="2645" t="s">
        <v>132</v>
      </c>
      <c r="B59" s="1899" t="s">
        <v>133</v>
      </c>
      <c r="C59" s="1901" t="s">
        <v>160</v>
      </c>
      <c r="D59" s="1899">
        <v>23</v>
      </c>
      <c r="E59" s="1900">
        <v>1041</v>
      </c>
      <c r="F59" s="1901">
        <v>2118110</v>
      </c>
      <c r="G59" s="59"/>
      <c r="H59" s="59"/>
      <c r="I59" s="59"/>
      <c r="J59" s="59"/>
      <c r="K59" s="59"/>
      <c r="L59" s="59"/>
      <c r="M59" s="59"/>
    </row>
    <row r="60" spans="1:13" ht="10.5" customHeight="1">
      <c r="A60" s="2645" t="s">
        <v>132</v>
      </c>
      <c r="B60" s="1899" t="s">
        <v>133</v>
      </c>
      <c r="C60" s="1901" t="s">
        <v>161</v>
      </c>
      <c r="D60" s="1899">
        <v>1</v>
      </c>
      <c r="E60" s="1900">
        <v>14</v>
      </c>
      <c r="F60" s="1901">
        <v>28486</v>
      </c>
      <c r="G60" s="59"/>
      <c r="H60" s="59"/>
      <c r="I60" s="59"/>
      <c r="J60" s="59"/>
      <c r="K60" s="59"/>
      <c r="L60" s="59"/>
      <c r="M60" s="59"/>
    </row>
    <row r="61" spans="1:13" ht="10.5" customHeight="1">
      <c r="A61" s="2645" t="s">
        <v>132</v>
      </c>
      <c r="B61" s="1899" t="s">
        <v>133</v>
      </c>
      <c r="C61" s="1901" t="s">
        <v>162</v>
      </c>
      <c r="D61" s="1899">
        <v>2</v>
      </c>
      <c r="E61" s="1900">
        <v>98</v>
      </c>
      <c r="F61" s="1901">
        <v>199399</v>
      </c>
      <c r="G61" s="59"/>
      <c r="H61" s="59"/>
      <c r="I61" s="59"/>
      <c r="J61" s="59"/>
      <c r="K61" s="59"/>
      <c r="L61" s="59"/>
      <c r="M61" s="59"/>
    </row>
    <row r="62" spans="1:13" ht="10.5" customHeight="1">
      <c r="A62" s="2883" t="s">
        <v>163</v>
      </c>
      <c r="B62" s="2884"/>
      <c r="C62" s="2885"/>
      <c r="D62" s="1902">
        <f>SUM(D28:D61)</f>
        <v>1487</v>
      </c>
      <c r="E62" s="1903">
        <f>SUM(E28:E61)</f>
        <v>59884</v>
      </c>
      <c r="F62" s="1904">
        <f>SUM(F28:F61)</f>
        <v>121845253</v>
      </c>
      <c r="G62" s="59"/>
      <c r="H62" s="59"/>
      <c r="I62" s="59"/>
      <c r="J62" s="59"/>
      <c r="K62" s="59"/>
      <c r="L62" s="59"/>
      <c r="M62" s="59"/>
    </row>
    <row r="63" spans="1:13" ht="10.5" customHeight="1">
      <c r="A63" s="2645" t="s">
        <v>133</v>
      </c>
      <c r="B63" s="1900" t="s">
        <v>164</v>
      </c>
      <c r="C63" s="1901" t="s">
        <v>165</v>
      </c>
      <c r="D63" s="1899">
        <v>27</v>
      </c>
      <c r="E63" s="1900">
        <v>1267</v>
      </c>
      <c r="F63" s="1901">
        <v>2041113</v>
      </c>
      <c r="G63" s="59"/>
      <c r="H63" s="59"/>
      <c r="I63" s="59"/>
      <c r="J63" s="59"/>
      <c r="K63" s="59"/>
      <c r="L63" s="59"/>
      <c r="M63" s="59"/>
    </row>
    <row r="64" spans="1:13" ht="10.5" customHeight="1">
      <c r="A64" s="2645" t="s">
        <v>133</v>
      </c>
      <c r="B64" s="1900" t="s">
        <v>164</v>
      </c>
      <c r="C64" s="1901" t="s">
        <v>166</v>
      </c>
      <c r="D64" s="1899">
        <v>324</v>
      </c>
      <c r="E64" s="1900">
        <v>3227</v>
      </c>
      <c r="F64" s="1901">
        <v>5198635</v>
      </c>
      <c r="G64" s="59"/>
      <c r="H64" s="59"/>
      <c r="I64" s="59"/>
      <c r="J64" s="59"/>
      <c r="K64" s="59"/>
      <c r="L64" s="59"/>
      <c r="M64" s="59"/>
    </row>
    <row r="65" spans="1:13" ht="10.5" customHeight="1">
      <c r="A65" s="2645" t="s">
        <v>133</v>
      </c>
      <c r="B65" s="1900" t="s">
        <v>164</v>
      </c>
      <c r="C65" s="1901" t="s">
        <v>167</v>
      </c>
      <c r="D65" s="1899">
        <v>12</v>
      </c>
      <c r="E65" s="1900">
        <v>683</v>
      </c>
      <c r="F65" s="1901">
        <v>1100300</v>
      </c>
      <c r="G65" s="59"/>
      <c r="H65" s="59"/>
      <c r="I65" s="59"/>
      <c r="J65" s="59"/>
      <c r="K65" s="59"/>
      <c r="L65" s="59"/>
      <c r="M65" s="59"/>
    </row>
    <row r="66" spans="1:13" ht="10.5" customHeight="1">
      <c r="A66" s="2645" t="s">
        <v>133</v>
      </c>
      <c r="B66" s="1900" t="s">
        <v>164</v>
      </c>
      <c r="C66" s="1901" t="s">
        <v>168</v>
      </c>
      <c r="D66" s="1899">
        <v>24</v>
      </c>
      <c r="E66" s="1900">
        <v>1632</v>
      </c>
      <c r="F66" s="1901">
        <v>2629121</v>
      </c>
      <c r="G66" s="59"/>
      <c r="H66" s="59"/>
      <c r="I66" s="59"/>
      <c r="J66" s="59"/>
      <c r="K66" s="59"/>
      <c r="L66" s="59"/>
      <c r="M66" s="59"/>
    </row>
    <row r="67" spans="1:13" ht="10.5" customHeight="1">
      <c r="A67" s="2645" t="s">
        <v>133</v>
      </c>
      <c r="B67" s="1900" t="s">
        <v>164</v>
      </c>
      <c r="C67" s="1901" t="s">
        <v>169</v>
      </c>
      <c r="D67" s="1899">
        <v>1</v>
      </c>
      <c r="E67" s="1900">
        <v>45</v>
      </c>
      <c r="F67" s="1901">
        <v>72494</v>
      </c>
      <c r="G67" s="59"/>
      <c r="H67" s="59"/>
      <c r="I67" s="59"/>
      <c r="J67" s="59"/>
      <c r="K67" s="59"/>
      <c r="L67" s="59"/>
      <c r="M67" s="59"/>
    </row>
    <row r="68" spans="1:13" ht="10.5" customHeight="1">
      <c r="A68" s="2645" t="s">
        <v>133</v>
      </c>
      <c r="B68" s="1900" t="s">
        <v>164</v>
      </c>
      <c r="C68" s="1901" t="s">
        <v>139</v>
      </c>
      <c r="D68" s="1899">
        <v>24</v>
      </c>
      <c r="E68" s="1900">
        <v>1117</v>
      </c>
      <c r="F68" s="1901">
        <v>1806418</v>
      </c>
      <c r="G68" s="59"/>
      <c r="H68" s="59"/>
      <c r="I68" s="59"/>
      <c r="J68" s="59"/>
      <c r="K68" s="59"/>
      <c r="L68" s="59"/>
      <c r="M68" s="59"/>
    </row>
    <row r="69" spans="1:13" ht="10.5" customHeight="1">
      <c r="A69" s="2645" t="s">
        <v>133</v>
      </c>
      <c r="B69" s="1900" t="s">
        <v>164</v>
      </c>
      <c r="C69" s="1901" t="s">
        <v>165</v>
      </c>
      <c r="D69" s="1899">
        <v>423</v>
      </c>
      <c r="E69" s="1900">
        <v>14632</v>
      </c>
      <c r="F69" s="1901">
        <v>23662943</v>
      </c>
      <c r="G69" s="59"/>
      <c r="H69" s="59"/>
      <c r="I69" s="59"/>
      <c r="J69" s="59"/>
      <c r="K69" s="59"/>
      <c r="L69" s="59"/>
      <c r="M69" s="59"/>
    </row>
    <row r="70" spans="1:13" ht="10.5" customHeight="1">
      <c r="A70" s="2645" t="s">
        <v>133</v>
      </c>
      <c r="B70" s="1900" t="s">
        <v>164</v>
      </c>
      <c r="C70" s="1901" t="s">
        <v>166</v>
      </c>
      <c r="D70" s="1899">
        <v>440</v>
      </c>
      <c r="E70" s="1900">
        <v>4400</v>
      </c>
      <c r="F70" s="1901">
        <v>7115702</v>
      </c>
      <c r="G70" s="59"/>
      <c r="H70" s="59"/>
      <c r="I70" s="59"/>
      <c r="J70" s="59"/>
      <c r="K70" s="59"/>
      <c r="L70" s="59"/>
      <c r="M70" s="59"/>
    </row>
    <row r="71" spans="1:13" ht="10.5" customHeight="1">
      <c r="A71" s="2645" t="s">
        <v>133</v>
      </c>
      <c r="B71" s="1900" t="s">
        <v>164</v>
      </c>
      <c r="C71" s="1901" t="s">
        <v>154</v>
      </c>
      <c r="D71" s="1899">
        <v>8</v>
      </c>
      <c r="E71" s="1900">
        <v>512</v>
      </c>
      <c r="F71" s="1901">
        <v>828009</v>
      </c>
      <c r="G71" s="59"/>
      <c r="H71" s="59"/>
      <c r="I71" s="59"/>
      <c r="J71" s="59"/>
      <c r="K71" s="59"/>
      <c r="L71" s="59"/>
      <c r="M71" s="59"/>
    </row>
    <row r="72" spans="1:13" ht="10.5" customHeight="1">
      <c r="A72" s="2645" t="s">
        <v>133</v>
      </c>
      <c r="B72" s="1900" t="s">
        <v>164</v>
      </c>
      <c r="C72" s="1901" t="s">
        <v>170</v>
      </c>
      <c r="D72" s="1899">
        <v>3</v>
      </c>
      <c r="E72" s="1900">
        <v>180</v>
      </c>
      <c r="F72" s="1901">
        <v>291097</v>
      </c>
      <c r="G72" s="59"/>
      <c r="H72" s="59"/>
      <c r="I72" s="59"/>
      <c r="J72" s="59"/>
      <c r="K72" s="59"/>
      <c r="L72" s="59"/>
      <c r="M72" s="59"/>
    </row>
    <row r="73" spans="1:13" ht="10.5" customHeight="1">
      <c r="A73" s="2645" t="s">
        <v>133</v>
      </c>
      <c r="B73" s="1900" t="s">
        <v>164</v>
      </c>
      <c r="C73" s="1901" t="s">
        <v>168</v>
      </c>
      <c r="D73" s="1899">
        <v>7624</v>
      </c>
      <c r="E73" s="1900">
        <v>512236</v>
      </c>
      <c r="F73" s="1901">
        <v>828390598</v>
      </c>
      <c r="G73" s="59"/>
      <c r="H73" s="59"/>
      <c r="I73" s="59"/>
      <c r="J73" s="59"/>
      <c r="K73" s="59"/>
      <c r="L73" s="59"/>
      <c r="M73" s="59"/>
    </row>
    <row r="74" spans="1:13" ht="10.5" customHeight="1">
      <c r="A74" s="2645" t="s">
        <v>133</v>
      </c>
      <c r="B74" s="1900" t="s">
        <v>164</v>
      </c>
      <c r="C74" s="1901" t="s">
        <v>169</v>
      </c>
      <c r="D74" s="1899">
        <v>2</v>
      </c>
      <c r="E74" s="1900">
        <v>108</v>
      </c>
      <c r="F74" s="1901">
        <v>174658</v>
      </c>
      <c r="G74" s="59"/>
      <c r="H74" s="59"/>
      <c r="I74" s="59"/>
      <c r="J74" s="59"/>
      <c r="K74" s="59"/>
      <c r="L74" s="59"/>
      <c r="M74" s="59"/>
    </row>
    <row r="75" spans="1:13" ht="10.5" customHeight="1">
      <c r="A75" s="2645" t="s">
        <v>133</v>
      </c>
      <c r="B75" s="1900" t="s">
        <v>164</v>
      </c>
      <c r="C75" s="1901" t="s">
        <v>171</v>
      </c>
      <c r="D75" s="1899">
        <v>87</v>
      </c>
      <c r="E75" s="1900">
        <v>5416</v>
      </c>
      <c r="F75" s="1901">
        <v>8758782</v>
      </c>
      <c r="G75" s="59"/>
      <c r="H75" s="59"/>
      <c r="I75" s="59"/>
      <c r="J75" s="59"/>
      <c r="K75" s="59"/>
      <c r="L75" s="59"/>
      <c r="M75" s="59"/>
    </row>
    <row r="76" spans="1:13" ht="10.5" customHeight="1">
      <c r="A76" s="2645" t="s">
        <v>133</v>
      </c>
      <c r="B76" s="1900" t="s">
        <v>164</v>
      </c>
      <c r="C76" s="1901" t="s">
        <v>172</v>
      </c>
      <c r="D76" s="1899">
        <v>2287</v>
      </c>
      <c r="E76" s="1900">
        <v>109558</v>
      </c>
      <c r="F76" s="1901">
        <v>177177741</v>
      </c>
      <c r="G76" s="59"/>
      <c r="H76" s="59"/>
      <c r="I76" s="59"/>
      <c r="J76" s="59"/>
      <c r="K76" s="59"/>
      <c r="L76" s="59"/>
      <c r="M76" s="59"/>
    </row>
    <row r="77" spans="1:13" ht="10.5" customHeight="1">
      <c r="A77" s="2883" t="s">
        <v>173</v>
      </c>
      <c r="B77" s="2884"/>
      <c r="C77" s="2885"/>
      <c r="D77" s="1902">
        <f>SUM(D63:D76)</f>
        <v>11286</v>
      </c>
      <c r="E77" s="1903">
        <f>SUM(E63:E76)</f>
        <v>655013</v>
      </c>
      <c r="F77" s="1904">
        <f>SUM(F63:F76)</f>
        <v>1059247611</v>
      </c>
      <c r="G77" s="59"/>
      <c r="H77" s="59"/>
      <c r="I77" s="59"/>
      <c r="J77" s="59"/>
      <c r="K77" s="59"/>
      <c r="L77" s="59"/>
      <c r="M77" s="59"/>
    </row>
    <row r="78" spans="1:13" ht="10.5" customHeight="1">
      <c r="A78" s="2645" t="s">
        <v>164</v>
      </c>
      <c r="B78" s="1900" t="s">
        <v>133</v>
      </c>
      <c r="C78" s="1901" t="s">
        <v>174</v>
      </c>
      <c r="D78" s="1899">
        <v>11</v>
      </c>
      <c r="E78" s="1900">
        <v>605</v>
      </c>
      <c r="F78" s="1901">
        <v>974643</v>
      </c>
      <c r="G78" s="59"/>
      <c r="H78" s="59"/>
      <c r="I78" s="59"/>
      <c r="J78" s="59"/>
      <c r="K78" s="59"/>
      <c r="L78" s="59"/>
      <c r="M78" s="59"/>
    </row>
    <row r="79" spans="1:13" ht="10.5" customHeight="1">
      <c r="A79" s="2645" t="s">
        <v>164</v>
      </c>
      <c r="B79" s="1900" t="s">
        <v>133</v>
      </c>
      <c r="C79" s="1901" t="s">
        <v>175</v>
      </c>
      <c r="D79" s="1899">
        <v>1</v>
      </c>
      <c r="E79" s="1900">
        <v>55</v>
      </c>
      <c r="F79" s="1901">
        <v>88604</v>
      </c>
      <c r="G79" s="59"/>
      <c r="H79" s="59"/>
      <c r="I79" s="59"/>
      <c r="J79" s="59"/>
      <c r="K79" s="59"/>
      <c r="L79" s="59"/>
      <c r="M79" s="59"/>
    </row>
    <row r="80" spans="1:13" ht="10.5" customHeight="1">
      <c r="A80" s="2645" t="s">
        <v>164</v>
      </c>
      <c r="B80" s="1900" t="s">
        <v>133</v>
      </c>
      <c r="C80" s="1901" t="s">
        <v>139</v>
      </c>
      <c r="D80" s="1899">
        <v>1</v>
      </c>
      <c r="E80" s="1900">
        <v>55</v>
      </c>
      <c r="F80" s="1901">
        <v>88604</v>
      </c>
      <c r="G80" s="59"/>
      <c r="H80" s="59"/>
      <c r="I80" s="59"/>
      <c r="J80" s="59"/>
      <c r="K80" s="59"/>
      <c r="L80" s="59"/>
      <c r="M80" s="59"/>
    </row>
    <row r="81" spans="1:13" ht="10.5" customHeight="1">
      <c r="A81" s="2645" t="s">
        <v>164</v>
      </c>
      <c r="B81" s="1900" t="s">
        <v>133</v>
      </c>
      <c r="C81" s="1901" t="s">
        <v>165</v>
      </c>
      <c r="D81" s="1899">
        <v>12</v>
      </c>
      <c r="E81" s="1900">
        <v>636</v>
      </c>
      <c r="F81" s="1901">
        <v>1024584</v>
      </c>
      <c r="G81" s="59"/>
      <c r="H81" s="59"/>
      <c r="I81" s="59"/>
      <c r="J81" s="59"/>
      <c r="K81" s="59"/>
      <c r="L81" s="59"/>
      <c r="M81" s="59"/>
    </row>
    <row r="82" spans="1:13" ht="10.5" customHeight="1">
      <c r="A82" s="2645" t="s">
        <v>164</v>
      </c>
      <c r="B82" s="1900" t="s">
        <v>133</v>
      </c>
      <c r="C82" s="1901" t="s">
        <v>109</v>
      </c>
      <c r="D82" s="1899">
        <v>134</v>
      </c>
      <c r="E82" s="1900">
        <v>7163</v>
      </c>
      <c r="F82" s="1901">
        <v>11584040</v>
      </c>
      <c r="G82" s="59"/>
      <c r="H82" s="59"/>
      <c r="I82" s="59"/>
      <c r="J82" s="59">
        <f>+F82</f>
        <v>11584040</v>
      </c>
      <c r="K82" s="59"/>
      <c r="L82" s="59"/>
      <c r="M82" s="59"/>
    </row>
    <row r="83" spans="1:13" ht="10.5" customHeight="1">
      <c r="A83" s="2645" t="s">
        <v>164</v>
      </c>
      <c r="B83" s="1900" t="s">
        <v>133</v>
      </c>
      <c r="C83" s="1901" t="s">
        <v>137</v>
      </c>
      <c r="D83" s="1899">
        <v>26</v>
      </c>
      <c r="E83" s="1900">
        <v>1650</v>
      </c>
      <c r="F83" s="1901">
        <v>2668388</v>
      </c>
      <c r="G83" s="59"/>
      <c r="H83" s="59"/>
      <c r="I83" s="59"/>
      <c r="J83" s="59">
        <f>+F39</f>
        <v>201434</v>
      </c>
      <c r="K83" s="59"/>
      <c r="L83" s="59"/>
      <c r="M83" s="59"/>
    </row>
    <row r="84" spans="1:13" ht="10.5" customHeight="1">
      <c r="A84" s="2645" t="s">
        <v>164</v>
      </c>
      <c r="B84" s="1900" t="s">
        <v>133</v>
      </c>
      <c r="C84" s="1901" t="s">
        <v>176</v>
      </c>
      <c r="D84" s="1899">
        <v>10</v>
      </c>
      <c r="E84" s="1900">
        <v>547</v>
      </c>
      <c r="F84" s="1901">
        <v>884611</v>
      </c>
      <c r="G84" s="59"/>
      <c r="H84" s="59"/>
      <c r="I84" s="59"/>
      <c r="J84" s="59"/>
      <c r="K84" s="59"/>
      <c r="L84" s="59"/>
      <c r="M84" s="59"/>
    </row>
    <row r="85" spans="1:13" ht="10.5" customHeight="1">
      <c r="A85" s="2645" t="s">
        <v>164</v>
      </c>
      <c r="B85" s="1900" t="s">
        <v>133</v>
      </c>
      <c r="C85" s="1901" t="s">
        <v>175</v>
      </c>
      <c r="D85" s="1899">
        <v>14</v>
      </c>
      <c r="E85" s="1900">
        <v>900</v>
      </c>
      <c r="F85" s="1901">
        <v>1455484</v>
      </c>
      <c r="G85" s="59"/>
      <c r="H85" s="59"/>
      <c r="I85" s="59"/>
      <c r="J85" s="59">
        <f>+F59</f>
        <v>2118110</v>
      </c>
      <c r="K85" s="59"/>
      <c r="L85" s="59"/>
      <c r="M85" s="59"/>
    </row>
    <row r="86" spans="1:13" ht="10.5" customHeight="1">
      <c r="A86" s="2645" t="s">
        <v>164</v>
      </c>
      <c r="B86" s="1900" t="s">
        <v>133</v>
      </c>
      <c r="C86" s="1901" t="s">
        <v>139</v>
      </c>
      <c r="D86" s="1899">
        <v>6</v>
      </c>
      <c r="E86" s="1900">
        <v>325</v>
      </c>
      <c r="F86" s="1901">
        <v>525592</v>
      </c>
      <c r="G86" s="59"/>
      <c r="H86" s="59"/>
      <c r="I86" s="59"/>
      <c r="J86" s="59">
        <f>+F122</f>
        <v>2617901</v>
      </c>
      <c r="K86" s="59"/>
      <c r="L86" s="59"/>
      <c r="M86" s="59"/>
    </row>
    <row r="87" spans="1:13" ht="10.5" customHeight="1">
      <c r="A87" s="2645" t="s">
        <v>164</v>
      </c>
      <c r="B87" s="1900" t="s">
        <v>133</v>
      </c>
      <c r="C87" s="1901" t="s">
        <v>177</v>
      </c>
      <c r="D87" s="1899">
        <v>1</v>
      </c>
      <c r="E87" s="1900">
        <v>68</v>
      </c>
      <c r="F87" s="1901">
        <v>109970</v>
      </c>
      <c r="G87" s="59"/>
      <c r="H87" s="59"/>
      <c r="I87" s="59"/>
      <c r="J87" s="59"/>
      <c r="K87" s="59"/>
      <c r="L87" s="59"/>
      <c r="M87" s="59"/>
    </row>
    <row r="88" spans="1:13" ht="10.5" customHeight="1">
      <c r="A88" s="2645" t="s">
        <v>164</v>
      </c>
      <c r="B88" s="1900" t="s">
        <v>133</v>
      </c>
      <c r="C88" s="1901" t="s">
        <v>178</v>
      </c>
      <c r="D88" s="1899">
        <v>13</v>
      </c>
      <c r="E88" s="1900">
        <v>682</v>
      </c>
      <c r="F88" s="1901">
        <v>1102933</v>
      </c>
      <c r="G88" s="59"/>
      <c r="H88" s="59"/>
      <c r="I88" s="59"/>
      <c r="J88" s="59"/>
      <c r="K88" s="59"/>
      <c r="L88" s="59"/>
      <c r="M88" s="59"/>
    </row>
    <row r="89" spans="1:13" ht="10.5" customHeight="1">
      <c r="A89" s="2645" t="s">
        <v>164</v>
      </c>
      <c r="B89" s="1900" t="s">
        <v>133</v>
      </c>
      <c r="C89" s="1901" t="s">
        <v>179</v>
      </c>
      <c r="D89" s="1899">
        <v>2</v>
      </c>
      <c r="E89" s="1900">
        <v>97</v>
      </c>
      <c r="F89" s="1901">
        <v>156869</v>
      </c>
      <c r="G89" s="59"/>
      <c r="H89" s="59"/>
      <c r="I89" s="59"/>
      <c r="J89" s="59">
        <v>141835967</v>
      </c>
      <c r="K89" s="59"/>
      <c r="L89" s="59"/>
      <c r="M89" s="59"/>
    </row>
    <row r="90" spans="1:13" ht="10.5" customHeight="1">
      <c r="A90" s="2645" t="s">
        <v>164</v>
      </c>
      <c r="B90" s="1900" t="s">
        <v>133</v>
      </c>
      <c r="C90" s="1901" t="s">
        <v>180</v>
      </c>
      <c r="D90" s="1899">
        <v>1</v>
      </c>
      <c r="E90" s="1900">
        <v>61</v>
      </c>
      <c r="F90" s="1901">
        <v>98650</v>
      </c>
      <c r="G90" s="59"/>
      <c r="H90" s="59"/>
      <c r="I90" s="59"/>
      <c r="J90" s="59">
        <f>SUM(J82:J89)</f>
        <v>158357452</v>
      </c>
      <c r="K90" s="59">
        <v>248794117</v>
      </c>
      <c r="L90" s="59"/>
      <c r="M90" s="59"/>
    </row>
    <row r="91" spans="1:13" ht="10.5" customHeight="1">
      <c r="A91" s="2645" t="s">
        <v>164</v>
      </c>
      <c r="B91" s="1900" t="s">
        <v>133</v>
      </c>
      <c r="C91" s="1901" t="s">
        <v>181</v>
      </c>
      <c r="D91" s="1899">
        <v>10</v>
      </c>
      <c r="E91" s="1900">
        <v>586</v>
      </c>
      <c r="F91" s="1901">
        <v>947682</v>
      </c>
      <c r="G91" s="59"/>
      <c r="H91" s="59"/>
      <c r="I91" s="59"/>
      <c r="J91" s="59"/>
      <c r="K91" s="59">
        <v>301570821</v>
      </c>
      <c r="L91" s="59"/>
      <c r="M91" s="59"/>
    </row>
    <row r="92" spans="1:13" ht="10.5" customHeight="1">
      <c r="A92" s="2645" t="s">
        <v>164</v>
      </c>
      <c r="B92" s="1900" t="s">
        <v>133</v>
      </c>
      <c r="C92" s="1901" t="s">
        <v>182</v>
      </c>
      <c r="D92" s="1899">
        <v>5</v>
      </c>
      <c r="E92" s="1900">
        <v>274</v>
      </c>
      <c r="F92" s="1901">
        <v>443114</v>
      </c>
      <c r="G92" s="59"/>
      <c r="H92" s="59"/>
      <c r="I92" s="59"/>
      <c r="J92" s="59"/>
      <c r="K92" s="59">
        <v>168562931</v>
      </c>
      <c r="L92" s="59"/>
      <c r="M92" s="59"/>
    </row>
    <row r="93" spans="1:13" ht="10.5" customHeight="1">
      <c r="A93" s="2645" t="s">
        <v>164</v>
      </c>
      <c r="B93" s="1900" t="s">
        <v>133</v>
      </c>
      <c r="C93" s="1901" t="s">
        <v>183</v>
      </c>
      <c r="D93" s="1899">
        <v>26</v>
      </c>
      <c r="E93" s="1900">
        <v>1672</v>
      </c>
      <c r="F93" s="1901">
        <v>2703967</v>
      </c>
      <c r="G93" s="59"/>
      <c r="H93" s="59"/>
      <c r="I93" s="59"/>
      <c r="J93" s="59"/>
      <c r="K93" s="59">
        <f>SUM(K90:K92)</f>
        <v>718927869</v>
      </c>
      <c r="L93" s="59"/>
      <c r="M93" s="59"/>
    </row>
    <row r="94" spans="1:13" ht="10.5" customHeight="1">
      <c r="A94" s="2645" t="s">
        <v>164</v>
      </c>
      <c r="B94" s="1900" t="s">
        <v>133</v>
      </c>
      <c r="C94" s="1901" t="s">
        <v>184</v>
      </c>
      <c r="D94" s="1899">
        <v>2</v>
      </c>
      <c r="E94" s="1900">
        <v>128</v>
      </c>
      <c r="F94" s="1901">
        <v>207002</v>
      </c>
      <c r="G94" s="59"/>
      <c r="H94" s="59"/>
      <c r="I94" s="59"/>
      <c r="J94" s="59"/>
      <c r="K94" s="59"/>
      <c r="L94" s="59"/>
      <c r="M94" s="59"/>
    </row>
    <row r="95" spans="1:13" ht="10.5" customHeight="1">
      <c r="A95" s="2645" t="s">
        <v>164</v>
      </c>
      <c r="B95" s="1900" t="s">
        <v>133</v>
      </c>
      <c r="C95" s="1901" t="s">
        <v>185</v>
      </c>
      <c r="D95" s="1899">
        <v>16</v>
      </c>
      <c r="E95" s="1900">
        <v>905</v>
      </c>
      <c r="F95" s="1901">
        <v>1463571</v>
      </c>
      <c r="G95" s="59"/>
      <c r="H95" s="59"/>
      <c r="I95" s="59"/>
      <c r="J95" s="59"/>
      <c r="K95" s="59"/>
      <c r="L95" s="59"/>
      <c r="M95" s="59"/>
    </row>
    <row r="96" spans="1:13" ht="10.5" customHeight="1">
      <c r="A96" s="2645" t="s">
        <v>164</v>
      </c>
      <c r="B96" s="1900" t="s">
        <v>133</v>
      </c>
      <c r="C96" s="1901" t="s">
        <v>186</v>
      </c>
      <c r="D96" s="1899">
        <v>1</v>
      </c>
      <c r="E96" s="1900">
        <v>55</v>
      </c>
      <c r="F96" s="1901">
        <v>88946</v>
      </c>
      <c r="G96" s="59"/>
      <c r="H96" s="59"/>
      <c r="I96" s="59"/>
      <c r="J96" s="59"/>
      <c r="K96" s="59"/>
      <c r="L96" s="59"/>
      <c r="M96" s="59"/>
    </row>
    <row r="97" spans="1:13" ht="10.5" customHeight="1">
      <c r="A97" s="2645" t="s">
        <v>164</v>
      </c>
      <c r="B97" s="1900" t="s">
        <v>133</v>
      </c>
      <c r="C97" s="1901" t="s">
        <v>187</v>
      </c>
      <c r="D97" s="1899">
        <v>4</v>
      </c>
      <c r="E97" s="1900">
        <v>217</v>
      </c>
      <c r="F97" s="1901">
        <v>350933</v>
      </c>
      <c r="G97" s="59"/>
      <c r="H97" s="59"/>
      <c r="I97" s="59"/>
      <c r="J97" s="59"/>
      <c r="K97" s="59"/>
      <c r="L97" s="59"/>
      <c r="M97" s="59"/>
    </row>
    <row r="98" spans="1:13" ht="10.5" customHeight="1">
      <c r="A98" s="2645" t="s">
        <v>164</v>
      </c>
      <c r="B98" s="1900" t="s">
        <v>133</v>
      </c>
      <c r="C98" s="1901" t="s">
        <v>188</v>
      </c>
      <c r="D98" s="1899">
        <v>2</v>
      </c>
      <c r="E98" s="1900">
        <v>110</v>
      </c>
      <c r="F98" s="1901">
        <v>177893</v>
      </c>
      <c r="G98" s="59"/>
      <c r="H98" s="59"/>
      <c r="I98" s="59"/>
      <c r="J98" s="59"/>
      <c r="K98" s="59"/>
      <c r="L98" s="59"/>
      <c r="M98" s="59"/>
    </row>
    <row r="99" spans="1:13" ht="10.5" customHeight="1">
      <c r="A99" s="2645" t="s">
        <v>164</v>
      </c>
      <c r="B99" s="1900" t="s">
        <v>133</v>
      </c>
      <c r="C99" s="1901" t="s">
        <v>145</v>
      </c>
      <c r="D99" s="1899">
        <v>1</v>
      </c>
      <c r="E99" s="1900">
        <v>65</v>
      </c>
      <c r="F99" s="1901">
        <v>105118</v>
      </c>
      <c r="G99" s="59"/>
      <c r="H99" s="59"/>
      <c r="I99" s="59"/>
      <c r="J99" s="59"/>
      <c r="K99" s="59"/>
      <c r="L99" s="59"/>
      <c r="M99" s="59"/>
    </row>
    <row r="100" spans="1:13" ht="10.5" customHeight="1">
      <c r="A100" s="2645" t="s">
        <v>164</v>
      </c>
      <c r="B100" s="1900" t="s">
        <v>133</v>
      </c>
      <c r="C100" s="1901" t="s">
        <v>189</v>
      </c>
      <c r="D100" s="1899">
        <v>21</v>
      </c>
      <c r="E100" s="1900">
        <v>1278</v>
      </c>
      <c r="F100" s="1901">
        <v>2066788</v>
      </c>
      <c r="G100" s="59"/>
      <c r="H100" s="59"/>
      <c r="I100" s="59"/>
      <c r="J100" s="59"/>
      <c r="K100" s="59"/>
      <c r="L100" s="59"/>
      <c r="M100" s="59"/>
    </row>
    <row r="101" spans="1:13" ht="10.5" customHeight="1">
      <c r="A101" s="2645" t="s">
        <v>164</v>
      </c>
      <c r="B101" s="1900" t="s">
        <v>133</v>
      </c>
      <c r="C101" s="1901" t="s">
        <v>147</v>
      </c>
      <c r="D101" s="1899">
        <v>2</v>
      </c>
      <c r="E101" s="1900">
        <v>122</v>
      </c>
      <c r="F101" s="1901">
        <v>197300</v>
      </c>
      <c r="G101" s="59"/>
      <c r="H101" s="59"/>
      <c r="I101" s="59"/>
      <c r="J101" s="59"/>
      <c r="K101" s="59"/>
      <c r="L101" s="59"/>
      <c r="M101" s="59"/>
    </row>
    <row r="102" spans="1:13" ht="10.5" customHeight="1">
      <c r="A102" s="2645" t="s">
        <v>164</v>
      </c>
      <c r="B102" s="1900" t="s">
        <v>133</v>
      </c>
      <c r="C102" s="1901" t="s">
        <v>190</v>
      </c>
      <c r="D102" s="1899">
        <v>34</v>
      </c>
      <c r="E102" s="1900">
        <v>2231</v>
      </c>
      <c r="F102" s="1901">
        <v>3607985</v>
      </c>
      <c r="G102" s="59"/>
      <c r="H102" s="59"/>
      <c r="I102" s="59"/>
      <c r="J102" s="59"/>
      <c r="K102" s="59"/>
      <c r="L102" s="59"/>
      <c r="M102" s="59"/>
    </row>
    <row r="103" spans="1:13" ht="10.5" customHeight="1">
      <c r="A103" s="2645" t="s">
        <v>164</v>
      </c>
      <c r="B103" s="1900" t="s">
        <v>133</v>
      </c>
      <c r="C103" s="1901" t="s">
        <v>125</v>
      </c>
      <c r="D103" s="1899">
        <v>15</v>
      </c>
      <c r="E103" s="1900">
        <v>957</v>
      </c>
      <c r="F103" s="1901">
        <v>1547665</v>
      </c>
      <c r="G103" s="59"/>
      <c r="H103" s="59"/>
      <c r="I103" s="59"/>
      <c r="J103" s="59"/>
      <c r="K103" s="59"/>
      <c r="L103" s="59"/>
      <c r="M103" s="59"/>
    </row>
    <row r="104" spans="1:13" ht="10.5" customHeight="1">
      <c r="A104" s="2645" t="s">
        <v>164</v>
      </c>
      <c r="B104" s="1900" t="s">
        <v>133</v>
      </c>
      <c r="C104" s="1901" t="s">
        <v>165</v>
      </c>
      <c r="D104" s="1899">
        <v>1526</v>
      </c>
      <c r="E104" s="1900">
        <v>68019</v>
      </c>
      <c r="F104" s="1901">
        <v>110000663</v>
      </c>
      <c r="G104" s="59"/>
      <c r="H104" s="59"/>
      <c r="I104" s="59"/>
      <c r="J104" s="59"/>
      <c r="K104" s="59"/>
      <c r="L104" s="59"/>
      <c r="M104" s="59"/>
    </row>
    <row r="105" spans="1:13" ht="10.5" customHeight="1">
      <c r="A105" s="2645" t="s">
        <v>164</v>
      </c>
      <c r="B105" s="1900" t="s">
        <v>133</v>
      </c>
      <c r="C105" s="1901" t="s">
        <v>166</v>
      </c>
      <c r="D105" s="1899">
        <v>18</v>
      </c>
      <c r="E105" s="1900">
        <v>180</v>
      </c>
      <c r="F105" s="1901">
        <v>291097</v>
      </c>
      <c r="G105" s="59"/>
      <c r="H105" s="59"/>
      <c r="I105" s="59"/>
      <c r="J105" s="59"/>
      <c r="K105" s="59"/>
      <c r="L105" s="59"/>
      <c r="M105" s="59"/>
    </row>
    <row r="106" spans="1:13" ht="10.5" customHeight="1">
      <c r="A106" s="2645" t="s">
        <v>164</v>
      </c>
      <c r="B106" s="1900" t="s">
        <v>133</v>
      </c>
      <c r="C106" s="1901" t="s">
        <v>191</v>
      </c>
      <c r="D106" s="1899">
        <v>2</v>
      </c>
      <c r="E106" s="1900">
        <v>134</v>
      </c>
      <c r="F106" s="1901">
        <v>216705</v>
      </c>
      <c r="G106" s="59"/>
      <c r="H106" s="59"/>
      <c r="I106" s="59"/>
      <c r="J106" s="59"/>
      <c r="K106" s="59"/>
      <c r="L106" s="59"/>
      <c r="M106" s="59"/>
    </row>
    <row r="107" spans="1:13" ht="10.5" customHeight="1">
      <c r="A107" s="2645" t="s">
        <v>164</v>
      </c>
      <c r="B107" s="1900" t="s">
        <v>133</v>
      </c>
      <c r="C107" s="1901" t="s">
        <v>192</v>
      </c>
      <c r="D107" s="1899">
        <v>7</v>
      </c>
      <c r="E107" s="1900">
        <v>317</v>
      </c>
      <c r="F107" s="1901">
        <v>512654</v>
      </c>
      <c r="G107" s="59"/>
      <c r="H107" s="59"/>
      <c r="I107" s="59"/>
      <c r="J107" s="59"/>
      <c r="K107" s="59"/>
      <c r="L107" s="59"/>
      <c r="M107" s="59"/>
    </row>
    <row r="108" spans="1:13" ht="10.5" customHeight="1">
      <c r="A108" s="2645" t="s">
        <v>164</v>
      </c>
      <c r="B108" s="1900" t="s">
        <v>133</v>
      </c>
      <c r="C108" s="1901" t="s">
        <v>193</v>
      </c>
      <c r="D108" s="1899">
        <v>4</v>
      </c>
      <c r="E108" s="1900">
        <v>192</v>
      </c>
      <c r="F108" s="1901">
        <v>310503</v>
      </c>
      <c r="G108" s="59"/>
      <c r="H108" s="59"/>
      <c r="I108" s="59"/>
      <c r="J108" s="59"/>
      <c r="K108" s="59"/>
      <c r="L108" s="59"/>
      <c r="M108" s="59"/>
    </row>
    <row r="109" spans="1:13" ht="10.5" customHeight="1">
      <c r="A109" s="2645" t="s">
        <v>164</v>
      </c>
      <c r="B109" s="1900" t="s">
        <v>133</v>
      </c>
      <c r="C109" s="1901" t="s">
        <v>158</v>
      </c>
      <c r="D109" s="1899">
        <v>31</v>
      </c>
      <c r="E109" s="1900">
        <v>2083</v>
      </c>
      <c r="F109" s="1901">
        <v>3368638</v>
      </c>
      <c r="G109" s="59"/>
      <c r="H109" s="59"/>
      <c r="I109" s="59"/>
      <c r="J109" s="59"/>
      <c r="K109" s="59"/>
      <c r="L109" s="59"/>
      <c r="M109" s="59"/>
    </row>
    <row r="110" spans="1:13" ht="10.5" customHeight="1">
      <c r="A110" s="2645" t="s">
        <v>164</v>
      </c>
      <c r="B110" s="1900" t="s">
        <v>133</v>
      </c>
      <c r="C110" s="1901" t="s">
        <v>194</v>
      </c>
      <c r="D110" s="1899">
        <v>2</v>
      </c>
      <c r="E110" s="1900">
        <v>100</v>
      </c>
      <c r="F110" s="1901">
        <v>161720</v>
      </c>
      <c r="G110" s="59"/>
      <c r="H110" s="59"/>
      <c r="I110" s="59"/>
      <c r="J110" s="59"/>
      <c r="K110" s="59"/>
      <c r="L110" s="59"/>
      <c r="M110" s="59"/>
    </row>
    <row r="111" spans="1:13" ht="10.5" customHeight="1">
      <c r="A111" s="2645" t="s">
        <v>164</v>
      </c>
      <c r="B111" s="1900" t="s">
        <v>133</v>
      </c>
      <c r="C111" s="1901" t="s">
        <v>161</v>
      </c>
      <c r="D111" s="1899">
        <v>171</v>
      </c>
      <c r="E111" s="1900">
        <v>8171</v>
      </c>
      <c r="F111" s="1901">
        <v>13214182</v>
      </c>
      <c r="G111" s="59"/>
      <c r="H111" s="59"/>
      <c r="I111" s="59"/>
      <c r="J111" s="59"/>
      <c r="K111" s="59"/>
      <c r="L111" s="59"/>
      <c r="M111" s="59"/>
    </row>
    <row r="112" spans="1:13" ht="10.5" customHeight="1">
      <c r="A112" s="2645" t="s">
        <v>164</v>
      </c>
      <c r="B112" s="1900" t="s">
        <v>133</v>
      </c>
      <c r="C112" s="1901" t="s">
        <v>130</v>
      </c>
      <c r="D112" s="1899">
        <v>2</v>
      </c>
      <c r="E112" s="1900">
        <v>121</v>
      </c>
      <c r="F112" s="1901">
        <v>195682</v>
      </c>
      <c r="G112" s="59"/>
      <c r="H112" s="59"/>
      <c r="I112" s="59"/>
      <c r="J112" s="59"/>
      <c r="K112" s="59"/>
      <c r="L112" s="59"/>
      <c r="M112" s="59"/>
    </row>
    <row r="113" spans="1:13" ht="10.5" customHeight="1">
      <c r="A113" s="2883" t="s">
        <v>195</v>
      </c>
      <c r="B113" s="2884"/>
      <c r="C113" s="2885"/>
      <c r="D113" s="1902">
        <f>SUM(D78:D112)</f>
        <v>2134</v>
      </c>
      <c r="E113" s="1903">
        <f>SUM(E78:E112)</f>
        <v>100761</v>
      </c>
      <c r="F113" s="1904">
        <f>SUM(F78:F112)</f>
        <v>162942780</v>
      </c>
      <c r="G113" s="59"/>
      <c r="H113" s="59"/>
      <c r="I113" s="59"/>
      <c r="J113" s="59"/>
      <c r="K113" s="59"/>
      <c r="L113" s="59"/>
      <c r="M113" s="59"/>
    </row>
    <row r="114" spans="1:13" ht="10.5" customHeight="1">
      <c r="A114" s="2645" t="s">
        <v>132</v>
      </c>
      <c r="B114" s="1900" t="s">
        <v>196</v>
      </c>
      <c r="C114" s="1901" t="s">
        <v>197</v>
      </c>
      <c r="D114" s="1899">
        <v>8</v>
      </c>
      <c r="E114" s="1900">
        <v>112</v>
      </c>
      <c r="F114" s="1901">
        <v>36628</v>
      </c>
      <c r="G114" s="59"/>
      <c r="H114" s="59"/>
      <c r="I114" s="59"/>
      <c r="J114" s="59"/>
      <c r="K114" s="59"/>
      <c r="L114" s="59"/>
      <c r="M114" s="59"/>
    </row>
    <row r="115" spans="1:13" ht="10.5" customHeight="1">
      <c r="A115" s="2645" t="s">
        <v>132</v>
      </c>
      <c r="B115" s="1900" t="s">
        <v>196</v>
      </c>
      <c r="C115" s="1901" t="s">
        <v>198</v>
      </c>
      <c r="D115" s="1899">
        <v>15</v>
      </c>
      <c r="E115" s="1900">
        <v>210</v>
      </c>
      <c r="F115" s="1901">
        <v>68678</v>
      </c>
      <c r="G115" s="59"/>
      <c r="H115" s="59"/>
      <c r="I115" s="59"/>
      <c r="J115" s="59"/>
      <c r="K115" s="59"/>
      <c r="L115" s="59"/>
      <c r="M115" s="59"/>
    </row>
    <row r="116" spans="1:13" ht="10.5" customHeight="1">
      <c r="A116" s="2645" t="s">
        <v>132</v>
      </c>
      <c r="B116" s="1900" t="s">
        <v>196</v>
      </c>
      <c r="C116" s="1901" t="s">
        <v>115</v>
      </c>
      <c r="D116" s="1899">
        <v>87</v>
      </c>
      <c r="E116" s="1900">
        <v>4002</v>
      </c>
      <c r="F116" s="1901">
        <v>1308810</v>
      </c>
      <c r="G116" s="59"/>
      <c r="H116" s="59"/>
      <c r="I116" s="59"/>
      <c r="J116" s="59"/>
      <c r="K116" s="59"/>
      <c r="L116" s="59"/>
      <c r="M116" s="59"/>
    </row>
    <row r="117" spans="1:13" ht="10.5" customHeight="1">
      <c r="A117" s="2645" t="s">
        <v>132</v>
      </c>
      <c r="B117" s="1900" t="s">
        <v>196</v>
      </c>
      <c r="C117" s="1901" t="s">
        <v>199</v>
      </c>
      <c r="D117" s="1899">
        <v>1</v>
      </c>
      <c r="E117" s="1900">
        <v>23</v>
      </c>
      <c r="F117" s="1901">
        <v>7522</v>
      </c>
      <c r="G117" s="59"/>
      <c r="H117" s="59"/>
      <c r="I117" s="59"/>
      <c r="J117" s="59"/>
      <c r="K117" s="59"/>
      <c r="L117" s="59"/>
      <c r="M117" s="59"/>
    </row>
    <row r="118" spans="1:13" ht="10.5" customHeight="1">
      <c r="A118" s="2645" t="s">
        <v>132</v>
      </c>
      <c r="B118" s="1900" t="s">
        <v>196</v>
      </c>
      <c r="C118" s="1901" t="s">
        <v>200</v>
      </c>
      <c r="D118" s="1899">
        <v>4</v>
      </c>
      <c r="E118" s="1900">
        <v>56</v>
      </c>
      <c r="F118" s="1901">
        <v>18314</v>
      </c>
      <c r="G118" s="59"/>
      <c r="H118" s="59"/>
      <c r="I118" s="59"/>
      <c r="J118" s="59"/>
      <c r="K118" s="59"/>
      <c r="L118" s="59"/>
      <c r="M118" s="59"/>
    </row>
    <row r="119" spans="1:13" ht="10.5" customHeight="1">
      <c r="A119" s="2645" t="s">
        <v>132</v>
      </c>
      <c r="B119" s="1900" t="s">
        <v>196</v>
      </c>
      <c r="C119" s="1901" t="s">
        <v>154</v>
      </c>
      <c r="D119" s="1899">
        <v>10</v>
      </c>
      <c r="E119" s="1900">
        <v>432</v>
      </c>
      <c r="F119" s="1901">
        <v>141281</v>
      </c>
      <c r="G119" s="59"/>
      <c r="H119" s="59"/>
      <c r="I119" s="59"/>
      <c r="J119" s="59"/>
      <c r="K119" s="59"/>
      <c r="L119" s="59"/>
      <c r="M119" s="59"/>
    </row>
    <row r="120" spans="1:13" ht="10.5" customHeight="1">
      <c r="A120" s="2645" t="s">
        <v>132</v>
      </c>
      <c r="B120" s="1900" t="s">
        <v>196</v>
      </c>
      <c r="C120" s="1901" t="s">
        <v>129</v>
      </c>
      <c r="D120" s="1899">
        <v>11</v>
      </c>
      <c r="E120" s="1900">
        <v>308</v>
      </c>
      <c r="F120" s="1901">
        <v>100728</v>
      </c>
      <c r="G120" s="59"/>
      <c r="H120" s="59"/>
      <c r="I120" s="59"/>
      <c r="J120" s="59"/>
      <c r="K120" s="59"/>
      <c r="L120" s="59"/>
      <c r="M120" s="59"/>
    </row>
    <row r="121" spans="1:13" ht="10.5" customHeight="1">
      <c r="A121" s="2883" t="s">
        <v>201</v>
      </c>
      <c r="B121" s="2884"/>
      <c r="C121" s="2885"/>
      <c r="D121" s="1902">
        <f>SUM(D114:D120)</f>
        <v>136</v>
      </c>
      <c r="E121" s="1903">
        <f>SUM(E114:E120)</f>
        <v>5143</v>
      </c>
      <c r="F121" s="1904">
        <f>SUM(F114:F120)</f>
        <v>1681961</v>
      </c>
      <c r="G121" s="59"/>
      <c r="H121" s="59"/>
      <c r="I121" s="59"/>
      <c r="J121" s="59"/>
      <c r="K121" s="59"/>
      <c r="L121" s="59"/>
      <c r="M121" s="59"/>
    </row>
    <row r="122" spans="1:13" ht="10.5" customHeight="1">
      <c r="A122" s="2645" t="s">
        <v>132</v>
      </c>
      <c r="B122" s="1900" t="s">
        <v>202</v>
      </c>
      <c r="C122" s="1901" t="s">
        <v>137</v>
      </c>
      <c r="D122" s="1899">
        <v>263</v>
      </c>
      <c r="E122" s="1900">
        <v>11682</v>
      </c>
      <c r="F122" s="1901">
        <v>2617901</v>
      </c>
      <c r="G122" s="59"/>
      <c r="H122" s="59"/>
      <c r="I122" s="59"/>
      <c r="J122" s="59"/>
      <c r="K122" s="59"/>
      <c r="L122" s="59"/>
      <c r="M122" s="59"/>
    </row>
    <row r="123" spans="1:13" ht="10.5" customHeight="1">
      <c r="A123" s="2645" t="s">
        <v>132</v>
      </c>
      <c r="B123" s="1900" t="s">
        <v>202</v>
      </c>
      <c r="C123" s="1901" t="s">
        <v>118</v>
      </c>
      <c r="D123" s="1899">
        <v>224</v>
      </c>
      <c r="E123" s="1900">
        <v>6503</v>
      </c>
      <c r="F123" s="1901">
        <v>1457303</v>
      </c>
      <c r="G123" s="59"/>
      <c r="H123" s="59"/>
      <c r="I123" s="59"/>
      <c r="J123" s="59"/>
      <c r="K123" s="59"/>
      <c r="L123" s="59"/>
      <c r="M123" s="59"/>
    </row>
    <row r="124" spans="1:13" ht="10.5" customHeight="1">
      <c r="A124" s="2645" t="s">
        <v>132</v>
      </c>
      <c r="B124" s="1900" t="s">
        <v>202</v>
      </c>
      <c r="C124" s="1901" t="s">
        <v>119</v>
      </c>
      <c r="D124" s="1899">
        <v>188</v>
      </c>
      <c r="E124" s="1900">
        <v>5000</v>
      </c>
      <c r="F124" s="1901">
        <v>1120485</v>
      </c>
      <c r="G124" s="59"/>
      <c r="H124" s="59"/>
      <c r="I124" s="59"/>
      <c r="J124" s="59"/>
      <c r="K124" s="59"/>
      <c r="L124" s="59"/>
      <c r="M124" s="59"/>
    </row>
    <row r="125" spans="1:13" ht="10.5" customHeight="1">
      <c r="A125" s="2645" t="s">
        <v>132</v>
      </c>
      <c r="B125" s="1900" t="s">
        <v>202</v>
      </c>
      <c r="C125" s="1901" t="s">
        <v>181</v>
      </c>
      <c r="D125" s="1899">
        <v>5</v>
      </c>
      <c r="E125" s="1900">
        <v>205</v>
      </c>
      <c r="F125" s="1901">
        <v>45940</v>
      </c>
      <c r="G125" s="59"/>
      <c r="H125" s="59"/>
      <c r="I125" s="59"/>
      <c r="J125" s="59"/>
      <c r="K125" s="59"/>
      <c r="L125" s="59"/>
      <c r="M125" s="59"/>
    </row>
    <row r="126" spans="1:13" ht="10.5" customHeight="1">
      <c r="A126" s="2645" t="s">
        <v>132</v>
      </c>
      <c r="B126" s="1900" t="s">
        <v>202</v>
      </c>
      <c r="C126" s="1901" t="s">
        <v>203</v>
      </c>
      <c r="D126" s="1899">
        <v>22</v>
      </c>
      <c r="E126" s="1900">
        <v>1012</v>
      </c>
      <c r="F126" s="1901">
        <v>226786</v>
      </c>
      <c r="G126" s="59"/>
      <c r="H126" s="59"/>
      <c r="I126" s="59"/>
      <c r="J126" s="59"/>
      <c r="K126" s="59"/>
      <c r="L126" s="59"/>
      <c r="M126" s="59"/>
    </row>
    <row r="127" spans="1:13" ht="10.5" customHeight="1">
      <c r="A127" s="2645" t="s">
        <v>132</v>
      </c>
      <c r="B127" s="1900" t="s">
        <v>202</v>
      </c>
      <c r="C127" s="1901" t="s">
        <v>204</v>
      </c>
      <c r="D127" s="1899">
        <v>22</v>
      </c>
      <c r="E127" s="1900">
        <v>920</v>
      </c>
      <c r="F127" s="1901">
        <v>206169</v>
      </c>
      <c r="G127" s="59"/>
      <c r="H127" s="59"/>
      <c r="I127" s="59"/>
      <c r="J127" s="59"/>
      <c r="K127" s="59"/>
      <c r="L127" s="59"/>
      <c r="M127" s="59"/>
    </row>
    <row r="128" spans="1:13" ht="10.5" customHeight="1">
      <c r="A128" s="2645" t="s">
        <v>132</v>
      </c>
      <c r="B128" s="1900" t="s">
        <v>202</v>
      </c>
      <c r="C128" s="1901" t="s">
        <v>122</v>
      </c>
      <c r="D128" s="1899">
        <v>306</v>
      </c>
      <c r="E128" s="1900">
        <v>12042</v>
      </c>
      <c r="F128" s="1901">
        <v>2698576</v>
      </c>
      <c r="G128" s="59"/>
      <c r="H128" s="59"/>
      <c r="I128" s="59"/>
      <c r="J128" s="59"/>
      <c r="K128" s="59"/>
      <c r="L128" s="59"/>
      <c r="M128" s="59"/>
    </row>
    <row r="129" spans="1:13" ht="10.5" customHeight="1">
      <c r="A129" s="2645" t="s">
        <v>132</v>
      </c>
      <c r="B129" s="1900" t="s">
        <v>202</v>
      </c>
      <c r="C129" s="1901" t="s">
        <v>187</v>
      </c>
      <c r="D129" s="1899">
        <v>22</v>
      </c>
      <c r="E129" s="1900">
        <v>1106</v>
      </c>
      <c r="F129" s="1901">
        <v>247851</v>
      </c>
      <c r="G129" s="59"/>
      <c r="H129" s="59"/>
      <c r="I129" s="59"/>
      <c r="J129" s="59"/>
      <c r="K129" s="59"/>
      <c r="L129" s="59"/>
      <c r="M129" s="59"/>
    </row>
    <row r="130" spans="1:13" ht="10.5" customHeight="1">
      <c r="A130" s="2645" t="s">
        <v>132</v>
      </c>
      <c r="B130" s="1900" t="s">
        <v>202</v>
      </c>
      <c r="C130" s="1901" t="s">
        <v>205</v>
      </c>
      <c r="D130" s="1899">
        <v>5</v>
      </c>
      <c r="E130" s="1900">
        <v>210</v>
      </c>
      <c r="F130" s="1901">
        <v>47060</v>
      </c>
      <c r="G130" s="59"/>
      <c r="H130" s="59"/>
      <c r="I130" s="59"/>
      <c r="J130" s="59"/>
      <c r="K130" s="59"/>
      <c r="L130" s="59"/>
      <c r="M130" s="59"/>
    </row>
    <row r="131" spans="1:13" ht="10.5" customHeight="1">
      <c r="A131" s="2645" t="s">
        <v>132</v>
      </c>
      <c r="B131" s="1900" t="s">
        <v>202</v>
      </c>
      <c r="C131" s="1901" t="s">
        <v>146</v>
      </c>
      <c r="D131" s="1899">
        <v>14</v>
      </c>
      <c r="E131" s="1900">
        <v>719</v>
      </c>
      <c r="F131" s="1901">
        <v>161126</v>
      </c>
      <c r="G131" s="59"/>
      <c r="H131" s="59"/>
      <c r="I131" s="59"/>
      <c r="J131" s="59"/>
      <c r="K131" s="59"/>
      <c r="L131" s="59"/>
      <c r="M131" s="59"/>
    </row>
    <row r="132" spans="1:13" ht="10.5" customHeight="1">
      <c r="A132" s="2645" t="s">
        <v>132</v>
      </c>
      <c r="B132" s="1900" t="s">
        <v>202</v>
      </c>
      <c r="C132" s="1901" t="s">
        <v>206</v>
      </c>
      <c r="D132" s="1899">
        <v>16</v>
      </c>
      <c r="E132" s="1900">
        <v>561</v>
      </c>
      <c r="F132" s="1901">
        <v>125718</v>
      </c>
      <c r="G132" s="59"/>
      <c r="H132" s="59"/>
      <c r="I132" s="59"/>
      <c r="J132" s="59"/>
      <c r="K132" s="59"/>
      <c r="L132" s="59"/>
      <c r="M132" s="59"/>
    </row>
    <row r="133" spans="1:13" ht="10.5" customHeight="1">
      <c r="A133" s="2645" t="s">
        <v>132</v>
      </c>
      <c r="B133" s="1900" t="s">
        <v>202</v>
      </c>
      <c r="C133" s="1901" t="s">
        <v>207</v>
      </c>
      <c r="D133" s="1899">
        <v>7</v>
      </c>
      <c r="E133" s="1900">
        <v>150</v>
      </c>
      <c r="F133" s="1901">
        <v>33615</v>
      </c>
      <c r="G133" s="59"/>
      <c r="H133" s="59"/>
      <c r="I133" s="59"/>
      <c r="J133" s="59"/>
      <c r="K133" s="59"/>
      <c r="L133" s="59"/>
      <c r="M133" s="59"/>
    </row>
    <row r="134" spans="1:13" ht="10.5" customHeight="1">
      <c r="A134" s="2645" t="s">
        <v>132</v>
      </c>
      <c r="B134" s="1900" t="s">
        <v>202</v>
      </c>
      <c r="C134" s="1901" t="s">
        <v>166</v>
      </c>
      <c r="D134" s="1899">
        <v>100</v>
      </c>
      <c r="E134" s="1900">
        <v>2800</v>
      </c>
      <c r="F134" s="1901">
        <v>627472</v>
      </c>
      <c r="G134" s="59"/>
      <c r="H134" s="59"/>
      <c r="I134" s="59"/>
      <c r="J134" s="59"/>
      <c r="K134" s="59"/>
      <c r="L134" s="59"/>
      <c r="M134" s="59"/>
    </row>
    <row r="135" spans="1:13" ht="10.5" customHeight="1">
      <c r="A135" s="2645" t="s">
        <v>132</v>
      </c>
      <c r="B135" s="1900" t="s">
        <v>202</v>
      </c>
      <c r="C135" s="1901" t="s">
        <v>153</v>
      </c>
      <c r="D135" s="1899">
        <v>368</v>
      </c>
      <c r="E135" s="1900">
        <v>10182</v>
      </c>
      <c r="F135" s="1901">
        <v>2281756</v>
      </c>
      <c r="G135" s="59"/>
      <c r="H135" s="59"/>
      <c r="I135" s="59"/>
      <c r="J135" s="59"/>
      <c r="K135" s="59"/>
      <c r="L135" s="59"/>
      <c r="M135" s="59"/>
    </row>
    <row r="136" spans="1:13" ht="10.5" customHeight="1">
      <c r="A136" s="2645" t="s">
        <v>132</v>
      </c>
      <c r="B136" s="1900" t="s">
        <v>202</v>
      </c>
      <c r="C136" s="1901" t="s">
        <v>208</v>
      </c>
      <c r="D136" s="1899">
        <v>1</v>
      </c>
      <c r="E136" s="1900">
        <v>42</v>
      </c>
      <c r="F136" s="1901">
        <v>9412</v>
      </c>
      <c r="G136" s="59"/>
      <c r="H136" s="59"/>
      <c r="I136" s="59"/>
      <c r="J136" s="59"/>
      <c r="K136" s="59"/>
      <c r="L136" s="59"/>
      <c r="M136" s="59"/>
    </row>
    <row r="137" spans="1:13" ht="10.5" customHeight="1">
      <c r="A137" s="2645" t="s">
        <v>132</v>
      </c>
      <c r="B137" s="1900" t="s">
        <v>202</v>
      </c>
      <c r="C137" s="1901" t="s">
        <v>193</v>
      </c>
      <c r="D137" s="1899">
        <v>24</v>
      </c>
      <c r="E137" s="1900">
        <v>349</v>
      </c>
      <c r="F137" s="1901">
        <v>78210</v>
      </c>
      <c r="G137" s="59"/>
      <c r="H137" s="59"/>
      <c r="I137" s="59"/>
      <c r="J137" s="59"/>
      <c r="K137" s="59"/>
      <c r="L137" s="59"/>
      <c r="M137" s="59"/>
    </row>
    <row r="138" spans="1:13" ht="10.5" customHeight="1">
      <c r="A138" s="2645" t="s">
        <v>132</v>
      </c>
      <c r="B138" s="1900" t="s">
        <v>202</v>
      </c>
      <c r="C138" s="1901" t="s">
        <v>156</v>
      </c>
      <c r="D138" s="1899">
        <v>13</v>
      </c>
      <c r="E138" s="1900">
        <v>182</v>
      </c>
      <c r="F138" s="1901">
        <v>40786</v>
      </c>
      <c r="G138" s="59"/>
      <c r="H138" s="59"/>
      <c r="I138" s="59"/>
      <c r="J138" s="59"/>
      <c r="K138" s="59"/>
      <c r="L138" s="59"/>
      <c r="M138" s="59"/>
    </row>
    <row r="139" spans="1:13" ht="10.5" customHeight="1">
      <c r="A139" s="2645" t="s">
        <v>132</v>
      </c>
      <c r="B139" s="1900" t="s">
        <v>202</v>
      </c>
      <c r="C139" s="1901" t="s">
        <v>209</v>
      </c>
      <c r="D139" s="1899">
        <v>2</v>
      </c>
      <c r="E139" s="1900">
        <v>42</v>
      </c>
      <c r="F139" s="1901">
        <v>9412</v>
      </c>
      <c r="G139" s="59"/>
      <c r="H139" s="59"/>
      <c r="I139" s="59"/>
      <c r="J139" s="59"/>
      <c r="K139" s="59"/>
      <c r="L139" s="59"/>
      <c r="M139" s="59"/>
    </row>
    <row r="140" spans="1:13" ht="10.5" customHeight="1">
      <c r="A140" s="2645" t="s">
        <v>132</v>
      </c>
      <c r="B140" s="1900" t="s">
        <v>202</v>
      </c>
      <c r="C140" s="1901" t="s">
        <v>129</v>
      </c>
      <c r="D140" s="1899">
        <v>10</v>
      </c>
      <c r="E140" s="1900">
        <v>510</v>
      </c>
      <c r="F140" s="1901">
        <v>114289</v>
      </c>
      <c r="G140" s="59"/>
      <c r="H140" s="59"/>
      <c r="I140" s="59"/>
      <c r="J140" s="59"/>
      <c r="K140" s="59"/>
      <c r="L140" s="59"/>
      <c r="M140" s="59"/>
    </row>
    <row r="141" spans="1:13" ht="10.5" customHeight="1">
      <c r="A141" s="2883" t="s">
        <v>210</v>
      </c>
      <c r="B141" s="2884"/>
      <c r="C141" s="2885"/>
      <c r="D141" s="1902">
        <f>SUM(D122:D140)</f>
        <v>1612</v>
      </c>
      <c r="E141" s="1903">
        <f>SUM(E122:E140)</f>
        <v>54217</v>
      </c>
      <c r="F141" s="1904">
        <f>SUM(F122:F140)</f>
        <v>12149867</v>
      </c>
      <c r="G141" s="59"/>
      <c r="H141" s="59"/>
      <c r="I141" s="59"/>
      <c r="J141" s="59"/>
      <c r="K141" s="59"/>
      <c r="L141" s="59"/>
      <c r="M141" s="59"/>
    </row>
    <row r="142" spans="1:13" ht="10.5" customHeight="1">
      <c r="A142" s="2645" t="s">
        <v>132</v>
      </c>
      <c r="B142" s="1900" t="s">
        <v>211</v>
      </c>
      <c r="C142" s="1901" t="s">
        <v>166</v>
      </c>
      <c r="D142" s="1899">
        <v>13</v>
      </c>
      <c r="E142" s="1900">
        <v>364</v>
      </c>
      <c r="F142" s="1901">
        <v>88556</v>
      </c>
      <c r="G142" s="59"/>
      <c r="H142" s="59"/>
      <c r="I142" s="59"/>
      <c r="J142" s="59">
        <f>SUM(F300:F300)</f>
        <v>97846480</v>
      </c>
      <c r="K142" s="59"/>
      <c r="L142" s="59"/>
      <c r="M142" s="59"/>
    </row>
    <row r="143" spans="1:13" ht="10.5" customHeight="1">
      <c r="A143" s="2645" t="s">
        <v>132</v>
      </c>
      <c r="B143" s="1900" t="s">
        <v>211</v>
      </c>
      <c r="C143" s="1901" t="s">
        <v>212</v>
      </c>
      <c r="D143" s="1899">
        <v>2</v>
      </c>
      <c r="E143" s="1900">
        <v>35</v>
      </c>
      <c r="F143" s="1901">
        <v>8515</v>
      </c>
      <c r="G143" s="59"/>
      <c r="H143" s="59"/>
      <c r="I143" s="59"/>
      <c r="J143" s="59">
        <f>SUM(J283:J284)</f>
        <v>11785474</v>
      </c>
      <c r="K143" s="59"/>
      <c r="L143" s="59"/>
      <c r="M143" s="59"/>
    </row>
    <row r="144" spans="1:13" ht="10.5" customHeight="1">
      <c r="A144" s="2883" t="s">
        <v>213</v>
      </c>
      <c r="B144" s="2884"/>
      <c r="C144" s="2885"/>
      <c r="D144" s="1902">
        <f>SUM(D142:D143)</f>
        <v>15</v>
      </c>
      <c r="E144" s="1903">
        <f>SUM(E142:E143)</f>
        <v>399</v>
      </c>
      <c r="F144" s="1904">
        <f>SUM(F142:F143)</f>
        <v>97071</v>
      </c>
      <c r="G144" s="59"/>
      <c r="H144" s="59"/>
      <c r="I144" s="59"/>
      <c r="J144" s="59"/>
      <c r="K144" s="59"/>
      <c r="L144" s="59"/>
      <c r="M144" s="59"/>
    </row>
    <row r="145" spans="1:13" ht="10.5" customHeight="1">
      <c r="A145" s="2645" t="s">
        <v>202</v>
      </c>
      <c r="B145" s="1900" t="s">
        <v>132</v>
      </c>
      <c r="C145" s="1901" t="s">
        <v>214</v>
      </c>
      <c r="D145" s="1899">
        <v>1</v>
      </c>
      <c r="E145" s="1900">
        <v>15</v>
      </c>
      <c r="F145" s="1901">
        <v>3361</v>
      </c>
      <c r="G145" s="59"/>
      <c r="H145" s="59"/>
      <c r="I145" s="59"/>
      <c r="J145" s="59"/>
      <c r="K145" s="59"/>
      <c r="L145" s="59"/>
      <c r="M145" s="59"/>
    </row>
    <row r="146" spans="1:13" ht="10.5" customHeight="1">
      <c r="A146" s="2645" t="s">
        <v>202</v>
      </c>
      <c r="B146" s="1900" t="s">
        <v>132</v>
      </c>
      <c r="C146" s="1901" t="s">
        <v>215</v>
      </c>
      <c r="D146" s="1899">
        <v>19</v>
      </c>
      <c r="E146" s="1900">
        <v>292</v>
      </c>
      <c r="F146" s="1901">
        <v>65436</v>
      </c>
      <c r="G146" s="59"/>
      <c r="H146" s="59"/>
      <c r="I146" s="59"/>
      <c r="J146" s="59"/>
      <c r="K146" s="59"/>
      <c r="L146" s="59"/>
      <c r="M146" s="59"/>
    </row>
    <row r="147" spans="1:13" ht="10.5" customHeight="1">
      <c r="A147" s="2645" t="s">
        <v>202</v>
      </c>
      <c r="B147" s="1900" t="s">
        <v>132</v>
      </c>
      <c r="C147" s="1901" t="s">
        <v>216</v>
      </c>
      <c r="D147" s="1899">
        <v>1</v>
      </c>
      <c r="E147" s="1900">
        <v>15</v>
      </c>
      <c r="F147" s="1901">
        <v>3361</v>
      </c>
      <c r="G147" s="59"/>
      <c r="H147" s="59"/>
      <c r="I147" s="59"/>
      <c r="J147" s="59"/>
      <c r="K147" s="59"/>
      <c r="L147" s="59"/>
      <c r="M147" s="59"/>
    </row>
    <row r="148" spans="1:13" ht="10.5" customHeight="1">
      <c r="A148" s="2883" t="s">
        <v>217</v>
      </c>
      <c r="B148" s="2884"/>
      <c r="C148" s="2885"/>
      <c r="D148" s="1902">
        <f>SUM(D145:D147)</f>
        <v>21</v>
      </c>
      <c r="E148" s="1903">
        <f>SUM(E145:E147)</f>
        <v>322</v>
      </c>
      <c r="F148" s="1904">
        <f>SUM(F145:F147)</f>
        <v>72158</v>
      </c>
      <c r="G148" s="59"/>
      <c r="H148" s="59"/>
      <c r="I148" s="59"/>
      <c r="J148" s="59"/>
      <c r="K148" s="59"/>
      <c r="L148" s="59"/>
      <c r="M148" s="59"/>
    </row>
    <row r="149" spans="1:13" ht="10.5" customHeight="1">
      <c r="A149" s="2645" t="s">
        <v>133</v>
      </c>
      <c r="B149" s="1899" t="s">
        <v>133</v>
      </c>
      <c r="C149" s="1901" t="s">
        <v>218</v>
      </c>
      <c r="D149" s="1899">
        <v>1</v>
      </c>
      <c r="E149" s="1900">
        <v>30</v>
      </c>
      <c r="F149" s="1901">
        <v>4500</v>
      </c>
      <c r="G149" s="59"/>
      <c r="H149" s="59"/>
      <c r="I149" s="59"/>
      <c r="J149" s="59"/>
      <c r="K149" s="59"/>
      <c r="L149" s="59"/>
      <c r="M149" s="59"/>
    </row>
    <row r="150" spans="1:13" ht="10.5" customHeight="1">
      <c r="A150" s="2645" t="s">
        <v>133</v>
      </c>
      <c r="B150" s="1899" t="s">
        <v>133</v>
      </c>
      <c r="C150" s="1901" t="s">
        <v>219</v>
      </c>
      <c r="D150" s="1899">
        <v>895</v>
      </c>
      <c r="E150" s="1900">
        <v>17461</v>
      </c>
      <c r="F150" s="1901">
        <v>2619150</v>
      </c>
      <c r="G150" s="59"/>
      <c r="H150" s="59"/>
      <c r="I150" s="59"/>
      <c r="J150" s="59"/>
      <c r="K150" s="59"/>
      <c r="L150" s="59"/>
      <c r="M150" s="59"/>
    </row>
    <row r="151" spans="1:13" ht="10.5" customHeight="1">
      <c r="A151" s="2645" t="s">
        <v>133</v>
      </c>
      <c r="B151" s="1899" t="s">
        <v>133</v>
      </c>
      <c r="C151" s="1901" t="s">
        <v>134</v>
      </c>
      <c r="D151" s="1899">
        <v>3</v>
      </c>
      <c r="E151" s="1900">
        <v>165</v>
      </c>
      <c r="F151" s="1901">
        <v>24750</v>
      </c>
      <c r="G151" s="59"/>
      <c r="H151" s="59"/>
      <c r="I151" s="59"/>
      <c r="J151" s="59"/>
      <c r="K151" s="59"/>
      <c r="L151" s="59"/>
      <c r="M151" s="59"/>
    </row>
    <row r="152" spans="1:13" ht="10.5" customHeight="1">
      <c r="A152" s="2645" t="s">
        <v>133</v>
      </c>
      <c r="B152" s="1899" t="s">
        <v>133</v>
      </c>
      <c r="C152" s="1901" t="s">
        <v>220</v>
      </c>
      <c r="D152" s="1899">
        <v>1</v>
      </c>
      <c r="E152" s="1900">
        <v>36</v>
      </c>
      <c r="F152" s="1901">
        <v>5400</v>
      </c>
      <c r="G152" s="59"/>
      <c r="H152" s="59"/>
      <c r="I152" s="59"/>
      <c r="J152" s="59"/>
      <c r="K152" s="59"/>
      <c r="L152" s="59"/>
      <c r="M152" s="59"/>
    </row>
    <row r="153" spans="1:13" ht="10.5" customHeight="1">
      <c r="A153" s="2645" t="s">
        <v>133</v>
      </c>
      <c r="B153" s="1899" t="s">
        <v>133</v>
      </c>
      <c r="C153" s="1901" t="s">
        <v>109</v>
      </c>
      <c r="D153" s="1899">
        <v>83</v>
      </c>
      <c r="E153" s="1900">
        <v>4270</v>
      </c>
      <c r="F153" s="1901">
        <v>640500</v>
      </c>
      <c r="G153" s="59"/>
      <c r="H153" s="59"/>
      <c r="I153" s="59"/>
      <c r="J153" s="59"/>
      <c r="K153" s="59"/>
      <c r="L153" s="59"/>
      <c r="M153" s="59"/>
    </row>
    <row r="154" spans="1:13" ht="10.5" customHeight="1">
      <c r="A154" s="2645" t="s">
        <v>133</v>
      </c>
      <c r="B154" s="1899" t="s">
        <v>133</v>
      </c>
      <c r="C154" s="1901" t="s">
        <v>135</v>
      </c>
      <c r="D154" s="1899">
        <v>1</v>
      </c>
      <c r="E154" s="1900">
        <v>50</v>
      </c>
      <c r="F154" s="1901">
        <v>7500</v>
      </c>
      <c r="G154" s="59"/>
      <c r="H154" s="59"/>
      <c r="I154" s="59"/>
      <c r="J154" s="59"/>
      <c r="K154" s="59"/>
      <c r="L154" s="59"/>
      <c r="M154" s="59"/>
    </row>
    <row r="155" spans="1:13" ht="10.5" customHeight="1">
      <c r="A155" s="2645" t="s">
        <v>133</v>
      </c>
      <c r="B155" s="1899" t="s">
        <v>133</v>
      </c>
      <c r="C155" s="1901" t="s">
        <v>221</v>
      </c>
      <c r="D155" s="1899">
        <v>5</v>
      </c>
      <c r="E155" s="1900">
        <v>265</v>
      </c>
      <c r="F155" s="1901">
        <v>39750</v>
      </c>
      <c r="G155" s="59"/>
      <c r="H155" s="59"/>
      <c r="I155" s="59"/>
      <c r="J155" s="59"/>
      <c r="K155" s="59"/>
      <c r="L155" s="59"/>
      <c r="M155" s="59"/>
    </row>
    <row r="156" spans="1:13" ht="10.5" customHeight="1">
      <c r="A156" s="2645" t="s">
        <v>133</v>
      </c>
      <c r="B156" s="1899" t="s">
        <v>133</v>
      </c>
      <c r="C156" s="1901" t="s">
        <v>222</v>
      </c>
      <c r="D156" s="1899">
        <v>5</v>
      </c>
      <c r="E156" s="1900">
        <v>340</v>
      </c>
      <c r="F156" s="1901">
        <v>51000</v>
      </c>
      <c r="G156" s="59"/>
      <c r="H156" s="59"/>
      <c r="I156" s="59"/>
      <c r="J156" s="59"/>
      <c r="K156" s="59"/>
      <c r="L156" s="59"/>
      <c r="M156" s="59"/>
    </row>
    <row r="157" spans="1:13" ht="10.5" customHeight="1">
      <c r="A157" s="2645" t="s">
        <v>133</v>
      </c>
      <c r="B157" s="1899" t="s">
        <v>133</v>
      </c>
      <c r="C157" s="1901" t="s">
        <v>137</v>
      </c>
      <c r="D157" s="1899">
        <v>32</v>
      </c>
      <c r="E157" s="1900">
        <v>1800</v>
      </c>
      <c r="F157" s="1901">
        <v>270000</v>
      </c>
      <c r="G157" s="59"/>
      <c r="H157" s="59"/>
      <c r="I157" s="59"/>
      <c r="J157" s="59"/>
      <c r="K157" s="59"/>
      <c r="L157" s="59"/>
      <c r="M157" s="59"/>
    </row>
    <row r="158" spans="1:13" ht="10.5" customHeight="1">
      <c r="A158" s="2645" t="s">
        <v>133</v>
      </c>
      <c r="B158" s="1899" t="s">
        <v>133</v>
      </c>
      <c r="C158" s="1901" t="s">
        <v>175</v>
      </c>
      <c r="D158" s="1899">
        <v>9</v>
      </c>
      <c r="E158" s="1900">
        <v>548</v>
      </c>
      <c r="F158" s="1901">
        <v>82200</v>
      </c>
      <c r="G158" s="59"/>
      <c r="H158" s="59"/>
      <c r="I158" s="59"/>
      <c r="J158" s="59"/>
      <c r="K158" s="59"/>
      <c r="L158" s="59"/>
      <c r="M158" s="59"/>
    </row>
    <row r="159" spans="1:13" ht="10.5" customHeight="1">
      <c r="A159" s="2645" t="s">
        <v>133</v>
      </c>
      <c r="B159" s="1899" t="s">
        <v>133</v>
      </c>
      <c r="C159" s="1901" t="s">
        <v>139</v>
      </c>
      <c r="D159" s="1899">
        <v>3</v>
      </c>
      <c r="E159" s="1900">
        <v>167</v>
      </c>
      <c r="F159" s="1901">
        <v>25050</v>
      </c>
      <c r="G159" s="59"/>
      <c r="H159" s="59"/>
      <c r="I159" s="59"/>
      <c r="J159" s="59"/>
      <c r="K159" s="59"/>
      <c r="L159" s="59"/>
      <c r="M159" s="59"/>
    </row>
    <row r="160" spans="1:13" ht="10.5" customHeight="1">
      <c r="A160" s="2645" t="s">
        <v>133</v>
      </c>
      <c r="B160" s="1899" t="s">
        <v>133</v>
      </c>
      <c r="C160" s="1901" t="s">
        <v>223</v>
      </c>
      <c r="D160" s="1899">
        <v>2</v>
      </c>
      <c r="E160" s="1900">
        <v>123</v>
      </c>
      <c r="F160" s="1901">
        <v>18450</v>
      </c>
      <c r="G160" s="59"/>
      <c r="H160" s="59"/>
      <c r="I160" s="59"/>
      <c r="J160" s="59"/>
      <c r="K160" s="59"/>
      <c r="L160" s="59"/>
      <c r="M160" s="59"/>
    </row>
    <row r="161" spans="1:13" ht="10.5" customHeight="1">
      <c r="A161" s="2645" t="s">
        <v>133</v>
      </c>
      <c r="B161" s="1899" t="s">
        <v>133</v>
      </c>
      <c r="C161" s="1901" t="s">
        <v>140</v>
      </c>
      <c r="D161" s="1899">
        <v>10</v>
      </c>
      <c r="E161" s="1900">
        <v>494</v>
      </c>
      <c r="F161" s="1901">
        <v>74100</v>
      </c>
      <c r="G161" s="59"/>
      <c r="H161" s="59"/>
      <c r="I161" s="59"/>
      <c r="J161" s="59"/>
      <c r="K161" s="59"/>
      <c r="L161" s="59"/>
      <c r="M161" s="59"/>
    </row>
    <row r="162" spans="1:13" ht="10.5" customHeight="1">
      <c r="A162" s="2645" t="s">
        <v>133</v>
      </c>
      <c r="B162" s="1899" t="s">
        <v>133</v>
      </c>
      <c r="C162" s="1901" t="s">
        <v>224</v>
      </c>
      <c r="D162" s="1899">
        <v>1</v>
      </c>
      <c r="E162" s="1900">
        <v>55</v>
      </c>
      <c r="F162" s="1901">
        <v>8250</v>
      </c>
      <c r="G162" s="59"/>
      <c r="H162" s="59"/>
      <c r="I162" s="59"/>
      <c r="J162" s="59"/>
      <c r="K162" s="59"/>
      <c r="L162" s="59"/>
      <c r="M162" s="59"/>
    </row>
    <row r="163" spans="1:13" ht="10.5" customHeight="1">
      <c r="A163" s="2645" t="s">
        <v>133</v>
      </c>
      <c r="B163" s="1899" t="s">
        <v>133</v>
      </c>
      <c r="C163" s="1901" t="s">
        <v>225</v>
      </c>
      <c r="D163" s="1899">
        <v>6</v>
      </c>
      <c r="E163" s="1900">
        <v>322</v>
      </c>
      <c r="F163" s="1901">
        <v>48300</v>
      </c>
      <c r="G163" s="59"/>
      <c r="H163" s="59"/>
      <c r="I163" s="59"/>
      <c r="J163" s="59"/>
      <c r="K163" s="59"/>
      <c r="L163" s="59"/>
      <c r="M163" s="59"/>
    </row>
    <row r="164" spans="1:13" ht="10.5" customHeight="1">
      <c r="A164" s="2645" t="s">
        <v>133</v>
      </c>
      <c r="B164" s="1899" t="s">
        <v>133</v>
      </c>
      <c r="C164" s="1901" t="s">
        <v>226</v>
      </c>
      <c r="D164" s="1899">
        <v>2</v>
      </c>
      <c r="E164" s="1900">
        <v>55</v>
      </c>
      <c r="F164" s="1901">
        <v>8250</v>
      </c>
      <c r="G164" s="59"/>
      <c r="H164" s="59"/>
      <c r="I164" s="59"/>
      <c r="J164" s="59"/>
      <c r="K164" s="59"/>
      <c r="L164" s="59"/>
      <c r="M164" s="59"/>
    </row>
    <row r="165" spans="1:13" ht="10.5" customHeight="1">
      <c r="A165" s="2645" t="s">
        <v>133</v>
      </c>
      <c r="B165" s="1899" t="s">
        <v>133</v>
      </c>
      <c r="C165" s="1901" t="s">
        <v>178</v>
      </c>
      <c r="D165" s="1899">
        <v>18</v>
      </c>
      <c r="E165" s="1900">
        <v>643</v>
      </c>
      <c r="F165" s="1901">
        <v>96450</v>
      </c>
      <c r="G165" s="59"/>
      <c r="H165" s="59"/>
      <c r="I165" s="59"/>
      <c r="J165" s="59"/>
      <c r="K165" s="59"/>
      <c r="L165" s="59"/>
      <c r="M165" s="59"/>
    </row>
    <row r="166" spans="1:13" ht="10.5" customHeight="1">
      <c r="A166" s="2645" t="s">
        <v>133</v>
      </c>
      <c r="B166" s="1899" t="s">
        <v>133</v>
      </c>
      <c r="C166" s="1901" t="s">
        <v>115</v>
      </c>
      <c r="D166" s="1899">
        <v>3</v>
      </c>
      <c r="E166" s="1900">
        <v>183</v>
      </c>
      <c r="F166" s="1901">
        <v>27450</v>
      </c>
      <c r="G166" s="59"/>
      <c r="H166" s="59"/>
      <c r="I166" s="59"/>
      <c r="J166" s="59"/>
      <c r="K166" s="59"/>
      <c r="L166" s="59"/>
      <c r="M166" s="59"/>
    </row>
    <row r="167" spans="1:13" ht="10.5" customHeight="1">
      <c r="A167" s="2645" t="s">
        <v>133</v>
      </c>
      <c r="B167" s="1899" t="s">
        <v>133</v>
      </c>
      <c r="C167" s="1901" t="s">
        <v>227</v>
      </c>
      <c r="D167" s="1899">
        <v>1</v>
      </c>
      <c r="E167" s="1900">
        <v>51</v>
      </c>
      <c r="F167" s="1901">
        <v>7650</v>
      </c>
      <c r="G167" s="59"/>
      <c r="H167" s="59"/>
      <c r="I167" s="59"/>
      <c r="J167" s="59"/>
      <c r="K167" s="59"/>
      <c r="L167" s="59"/>
      <c r="M167" s="59"/>
    </row>
    <row r="168" spans="1:13" ht="10.5" customHeight="1">
      <c r="A168" s="2645" t="s">
        <v>133</v>
      </c>
      <c r="B168" s="1899" t="s">
        <v>133</v>
      </c>
      <c r="C168" s="1901" t="s">
        <v>116</v>
      </c>
      <c r="D168" s="1899">
        <v>5</v>
      </c>
      <c r="E168" s="1900">
        <v>266</v>
      </c>
      <c r="F168" s="1901">
        <v>39900</v>
      </c>
      <c r="G168" s="59"/>
      <c r="H168" s="59"/>
      <c r="I168" s="59"/>
      <c r="J168" s="59"/>
      <c r="K168" s="59"/>
      <c r="L168" s="59"/>
      <c r="M168" s="59"/>
    </row>
    <row r="169" spans="1:13" ht="10.5" customHeight="1">
      <c r="A169" s="2645" t="s">
        <v>133</v>
      </c>
      <c r="B169" s="1899" t="s">
        <v>133</v>
      </c>
      <c r="C169" s="1901" t="s">
        <v>228</v>
      </c>
      <c r="D169" s="1899">
        <v>3</v>
      </c>
      <c r="E169" s="1900">
        <v>159</v>
      </c>
      <c r="F169" s="1901">
        <v>23850</v>
      </c>
      <c r="G169" s="59"/>
      <c r="H169" s="59"/>
      <c r="I169" s="59"/>
      <c r="J169" s="59"/>
      <c r="K169" s="59"/>
      <c r="L169" s="59"/>
      <c r="M169" s="59"/>
    </row>
    <row r="170" spans="1:13" ht="10.5" customHeight="1">
      <c r="A170" s="2645" t="s">
        <v>133</v>
      </c>
      <c r="B170" s="1899" t="s">
        <v>133</v>
      </c>
      <c r="C170" s="1901" t="s">
        <v>229</v>
      </c>
      <c r="D170" s="1899">
        <v>11</v>
      </c>
      <c r="E170" s="1900">
        <v>540</v>
      </c>
      <c r="F170" s="1901">
        <v>81000</v>
      </c>
      <c r="G170" s="59"/>
      <c r="H170" s="59"/>
      <c r="I170" s="59"/>
      <c r="J170" s="59"/>
      <c r="K170" s="59"/>
      <c r="L170" s="59"/>
      <c r="M170" s="59"/>
    </row>
    <row r="171" spans="1:13" ht="10.5" customHeight="1">
      <c r="A171" s="2645" t="s">
        <v>133</v>
      </c>
      <c r="B171" s="1899" t="s">
        <v>133</v>
      </c>
      <c r="C171" s="1901" t="s">
        <v>230</v>
      </c>
      <c r="D171" s="1899">
        <v>1</v>
      </c>
      <c r="E171" s="1900">
        <v>45</v>
      </c>
      <c r="F171" s="1901">
        <v>6750</v>
      </c>
      <c r="G171" s="59"/>
      <c r="H171" s="59"/>
      <c r="I171" s="59"/>
      <c r="J171" s="59"/>
      <c r="K171" s="59"/>
      <c r="L171" s="59"/>
      <c r="M171" s="59"/>
    </row>
    <row r="172" spans="1:13" ht="10.5" customHeight="1">
      <c r="A172" s="2645" t="s">
        <v>133</v>
      </c>
      <c r="B172" s="1899" t="s">
        <v>133</v>
      </c>
      <c r="C172" s="1901" t="s">
        <v>118</v>
      </c>
      <c r="D172" s="1899">
        <v>2</v>
      </c>
      <c r="E172" s="1900">
        <v>116</v>
      </c>
      <c r="F172" s="1901">
        <v>17400</v>
      </c>
      <c r="G172" s="59"/>
      <c r="H172" s="59"/>
      <c r="I172" s="59"/>
      <c r="J172" s="59"/>
      <c r="K172" s="59"/>
      <c r="L172" s="59"/>
      <c r="M172" s="59"/>
    </row>
    <row r="173" spans="1:13" ht="10.5" customHeight="1">
      <c r="A173" s="2645" t="s">
        <v>133</v>
      </c>
      <c r="B173" s="1899" t="s">
        <v>133</v>
      </c>
      <c r="C173" s="1901" t="s">
        <v>231</v>
      </c>
      <c r="D173" s="1899">
        <v>1</v>
      </c>
      <c r="E173" s="1900">
        <v>20</v>
      </c>
      <c r="F173" s="1901">
        <v>3000</v>
      </c>
      <c r="G173" s="59"/>
      <c r="H173" s="59"/>
      <c r="I173" s="59"/>
      <c r="J173" s="59"/>
      <c r="K173" s="59"/>
      <c r="L173" s="59"/>
      <c r="M173" s="59"/>
    </row>
    <row r="174" spans="1:13" ht="10.5" customHeight="1">
      <c r="A174" s="2645" t="s">
        <v>133</v>
      </c>
      <c r="B174" s="1899" t="s">
        <v>133</v>
      </c>
      <c r="C174" s="1901" t="s">
        <v>232</v>
      </c>
      <c r="D174" s="1899">
        <v>21</v>
      </c>
      <c r="E174" s="1900">
        <v>852</v>
      </c>
      <c r="F174" s="1901">
        <v>127800</v>
      </c>
      <c r="G174" s="59"/>
      <c r="H174" s="59"/>
      <c r="I174" s="59"/>
      <c r="J174" s="59"/>
      <c r="K174" s="59"/>
      <c r="L174" s="59"/>
      <c r="M174" s="59"/>
    </row>
    <row r="175" spans="1:13" ht="10.5" customHeight="1">
      <c r="A175" s="2645" t="s">
        <v>133</v>
      </c>
      <c r="B175" s="1899" t="s">
        <v>133</v>
      </c>
      <c r="C175" s="1901" t="s">
        <v>233</v>
      </c>
      <c r="D175" s="1899">
        <v>1</v>
      </c>
      <c r="E175" s="1900">
        <v>40</v>
      </c>
      <c r="F175" s="1901">
        <v>6000</v>
      </c>
      <c r="G175" s="59"/>
      <c r="H175" s="59"/>
      <c r="I175" s="59"/>
      <c r="J175" s="59"/>
      <c r="K175" s="59"/>
      <c r="L175" s="59"/>
      <c r="M175" s="59"/>
    </row>
    <row r="176" spans="1:13" ht="10.5" customHeight="1">
      <c r="A176" s="2645" t="s">
        <v>133</v>
      </c>
      <c r="B176" s="1899" t="s">
        <v>133</v>
      </c>
      <c r="C176" s="1901" t="s">
        <v>234</v>
      </c>
      <c r="D176" s="1899">
        <v>9</v>
      </c>
      <c r="E176" s="1900">
        <v>472</v>
      </c>
      <c r="F176" s="1901">
        <v>70800</v>
      </c>
      <c r="G176" s="59"/>
      <c r="H176" s="59"/>
      <c r="I176" s="59"/>
      <c r="J176" s="59"/>
      <c r="K176" s="59"/>
      <c r="L176" s="59"/>
      <c r="M176" s="59"/>
    </row>
    <row r="177" spans="1:13" ht="10.5" customHeight="1">
      <c r="A177" s="2645" t="s">
        <v>133</v>
      </c>
      <c r="B177" s="1899" t="s">
        <v>133</v>
      </c>
      <c r="C177" s="1901" t="s">
        <v>181</v>
      </c>
      <c r="D177" s="1899">
        <v>3</v>
      </c>
      <c r="E177" s="1900">
        <v>163</v>
      </c>
      <c r="F177" s="1901">
        <v>24450</v>
      </c>
      <c r="G177" s="59"/>
      <c r="H177" s="59"/>
      <c r="I177" s="59"/>
      <c r="J177" s="59"/>
      <c r="K177" s="59"/>
      <c r="L177" s="59"/>
      <c r="M177" s="59"/>
    </row>
    <row r="178" spans="1:13" ht="10.5" customHeight="1">
      <c r="A178" s="2645" t="s">
        <v>133</v>
      </c>
      <c r="B178" s="1899" t="s">
        <v>133</v>
      </c>
      <c r="C178" s="1901" t="s">
        <v>182</v>
      </c>
      <c r="D178" s="1899">
        <v>2</v>
      </c>
      <c r="E178" s="1900">
        <v>100</v>
      </c>
      <c r="F178" s="1901">
        <v>15000</v>
      </c>
      <c r="G178" s="59"/>
      <c r="H178" s="59"/>
      <c r="I178" s="59"/>
      <c r="J178" s="59"/>
      <c r="K178" s="59"/>
      <c r="L178" s="59"/>
      <c r="M178" s="59"/>
    </row>
    <row r="179" spans="1:13" ht="10.5" customHeight="1">
      <c r="A179" s="2645" t="s">
        <v>133</v>
      </c>
      <c r="B179" s="1899" t="s">
        <v>133</v>
      </c>
      <c r="C179" s="1901" t="s">
        <v>235</v>
      </c>
      <c r="D179" s="1899">
        <v>149</v>
      </c>
      <c r="E179" s="1900">
        <v>9454</v>
      </c>
      <c r="F179" s="1901">
        <v>1418100</v>
      </c>
      <c r="G179" s="59"/>
      <c r="H179" s="59"/>
      <c r="I179" s="59"/>
      <c r="J179" s="59"/>
      <c r="K179" s="59"/>
      <c r="L179" s="59"/>
      <c r="M179" s="59"/>
    </row>
    <row r="180" spans="1:13" ht="10.5" customHeight="1">
      <c r="A180" s="2645" t="s">
        <v>133</v>
      </c>
      <c r="B180" s="1899" t="s">
        <v>133</v>
      </c>
      <c r="C180" s="1901" t="s">
        <v>199</v>
      </c>
      <c r="D180" s="1899">
        <v>1</v>
      </c>
      <c r="E180" s="1900">
        <v>66</v>
      </c>
      <c r="F180" s="1901">
        <v>9900</v>
      </c>
      <c r="G180" s="59"/>
      <c r="H180" s="59"/>
      <c r="I180" s="59"/>
      <c r="J180" s="59"/>
      <c r="K180" s="59"/>
      <c r="L180" s="59"/>
      <c r="M180" s="59"/>
    </row>
    <row r="181" spans="1:13" ht="10.5" customHeight="1">
      <c r="A181" s="2645" t="s">
        <v>133</v>
      </c>
      <c r="B181" s="1899" t="s">
        <v>133</v>
      </c>
      <c r="C181" s="1901" t="s">
        <v>185</v>
      </c>
      <c r="D181" s="1899">
        <v>17</v>
      </c>
      <c r="E181" s="1900">
        <v>956</v>
      </c>
      <c r="F181" s="1901">
        <v>143400</v>
      </c>
      <c r="G181" s="59"/>
      <c r="H181" s="59"/>
      <c r="I181" s="59"/>
      <c r="J181" s="59"/>
      <c r="K181" s="59"/>
      <c r="L181" s="59"/>
      <c r="M181" s="59"/>
    </row>
    <row r="182" spans="1:13" ht="10.5" customHeight="1">
      <c r="A182" s="2645" t="s">
        <v>133</v>
      </c>
      <c r="B182" s="1899" t="s">
        <v>133</v>
      </c>
      <c r="C182" s="1901" t="s">
        <v>236</v>
      </c>
      <c r="D182" s="1899">
        <v>7</v>
      </c>
      <c r="E182" s="1900">
        <v>459</v>
      </c>
      <c r="F182" s="1901">
        <v>68850</v>
      </c>
      <c r="G182" s="59"/>
      <c r="H182" s="59"/>
      <c r="I182" s="59"/>
      <c r="J182" s="59"/>
      <c r="K182" s="59"/>
      <c r="L182" s="59"/>
      <c r="M182" s="59"/>
    </row>
    <row r="183" spans="1:13" ht="10.5" customHeight="1">
      <c r="A183" s="2645" t="s">
        <v>133</v>
      </c>
      <c r="B183" s="1899" t="s">
        <v>133</v>
      </c>
      <c r="C183" s="1901" t="s">
        <v>145</v>
      </c>
      <c r="D183" s="1899">
        <v>2</v>
      </c>
      <c r="E183" s="1900">
        <v>123</v>
      </c>
      <c r="F183" s="1901">
        <v>18450</v>
      </c>
      <c r="G183" s="59"/>
      <c r="H183" s="59"/>
      <c r="I183" s="59"/>
      <c r="J183" s="59">
        <f>+F267</f>
        <v>29174</v>
      </c>
      <c r="K183" s="59"/>
      <c r="L183" s="59"/>
      <c r="M183" s="59"/>
    </row>
    <row r="184" spans="1:13" ht="10.5" customHeight="1">
      <c r="A184" s="2645" t="s">
        <v>133</v>
      </c>
      <c r="B184" s="1899" t="s">
        <v>133</v>
      </c>
      <c r="C184" s="1901" t="s">
        <v>237</v>
      </c>
      <c r="D184" s="1899">
        <v>1</v>
      </c>
      <c r="E184" s="1900">
        <v>50</v>
      </c>
      <c r="F184" s="1901">
        <v>7500</v>
      </c>
      <c r="G184" s="59"/>
      <c r="H184" s="59"/>
      <c r="I184" s="59"/>
      <c r="J184" s="59">
        <f>SUM(F186:F192)</f>
        <v>908100</v>
      </c>
      <c r="K184" s="59"/>
      <c r="L184" s="59"/>
      <c r="M184" s="59"/>
    </row>
    <row r="185" spans="1:13" ht="10.5" customHeight="1">
      <c r="A185" s="2645" t="s">
        <v>133</v>
      </c>
      <c r="B185" s="1899" t="s">
        <v>133</v>
      </c>
      <c r="C185" s="1901" t="s">
        <v>238</v>
      </c>
      <c r="D185" s="1899">
        <v>11</v>
      </c>
      <c r="E185" s="1900">
        <v>619</v>
      </c>
      <c r="F185" s="1901">
        <v>92850</v>
      </c>
      <c r="G185" s="59"/>
      <c r="H185" s="59"/>
      <c r="I185" s="59"/>
      <c r="J185" s="59">
        <f>SUM(F194:F196)</f>
        <v>156450</v>
      </c>
      <c r="K185" s="59"/>
      <c r="L185" s="59"/>
      <c r="M185" s="59"/>
    </row>
    <row r="186" spans="1:13" ht="10.5" customHeight="1">
      <c r="A186" s="2645" t="s">
        <v>133</v>
      </c>
      <c r="B186" s="1899" t="s">
        <v>133</v>
      </c>
      <c r="C186" s="1901" t="s">
        <v>239</v>
      </c>
      <c r="D186" s="1899">
        <v>9</v>
      </c>
      <c r="E186" s="1900">
        <v>595</v>
      </c>
      <c r="F186" s="1901">
        <v>89250</v>
      </c>
      <c r="G186" s="59"/>
      <c r="H186" s="59"/>
      <c r="I186" s="59"/>
      <c r="J186" s="59">
        <f>SUM(F201:F208)</f>
        <v>690900</v>
      </c>
      <c r="K186" s="59"/>
      <c r="L186" s="59"/>
      <c r="M186" s="59"/>
    </row>
    <row r="187" spans="1:13" ht="10.5" customHeight="1">
      <c r="A187" s="2645" t="s">
        <v>133</v>
      </c>
      <c r="B187" s="1899" t="s">
        <v>133</v>
      </c>
      <c r="C187" s="1901" t="s">
        <v>205</v>
      </c>
      <c r="D187" s="1899">
        <v>1</v>
      </c>
      <c r="E187" s="1900">
        <v>56</v>
      </c>
      <c r="F187" s="1901">
        <v>8400</v>
      </c>
      <c r="G187" s="59"/>
      <c r="H187" s="59"/>
      <c r="I187" s="59"/>
      <c r="J187" s="59">
        <f>SUM(F211:F215)</f>
        <v>13832250</v>
      </c>
      <c r="K187" s="59"/>
      <c r="L187" s="59"/>
      <c r="M187" s="59"/>
    </row>
    <row r="188" spans="1:13" ht="10.5" customHeight="1">
      <c r="A188" s="2645" t="s">
        <v>133</v>
      </c>
      <c r="B188" s="1899" t="s">
        <v>133</v>
      </c>
      <c r="C188" s="1901" t="s">
        <v>240</v>
      </c>
      <c r="D188" s="1899">
        <v>1</v>
      </c>
      <c r="E188" s="1900">
        <v>46</v>
      </c>
      <c r="F188" s="1901">
        <v>6900</v>
      </c>
      <c r="G188" s="59"/>
      <c r="H188" s="59"/>
      <c r="I188" s="59"/>
      <c r="J188" s="59">
        <f>SUM(F261:F262)</f>
        <v>45178</v>
      </c>
      <c r="K188" s="59"/>
      <c r="L188" s="59"/>
      <c r="M188" s="59"/>
    </row>
    <row r="189" spans="1:13" ht="10.5" customHeight="1">
      <c r="A189" s="2645" t="s">
        <v>133</v>
      </c>
      <c r="B189" s="1899" t="s">
        <v>133</v>
      </c>
      <c r="C189" s="1901" t="s">
        <v>123</v>
      </c>
      <c r="D189" s="1899">
        <v>1</v>
      </c>
      <c r="E189" s="1900">
        <v>56</v>
      </c>
      <c r="F189" s="1901">
        <v>8400</v>
      </c>
      <c r="G189" s="59"/>
      <c r="H189" s="59"/>
      <c r="I189" s="59">
        <f>SUM(F186:F192,F194:F196,F201:F208,F211:F212,F213:F215,F261:F262,F267,F270:F274,F300:F300)</f>
        <v>113654529</v>
      </c>
      <c r="J189" s="59">
        <f>SUM(F270:F274)</f>
        <v>145997</v>
      </c>
      <c r="K189" s="59"/>
      <c r="L189" s="59"/>
      <c r="M189" s="59"/>
    </row>
    <row r="190" spans="1:13" ht="10.5" customHeight="1">
      <c r="A190" s="2645" t="s">
        <v>133</v>
      </c>
      <c r="B190" s="1899" t="s">
        <v>133</v>
      </c>
      <c r="C190" s="1901" t="s">
        <v>241</v>
      </c>
      <c r="D190" s="1899">
        <v>1</v>
      </c>
      <c r="E190" s="1900">
        <v>35</v>
      </c>
      <c r="F190" s="1901">
        <v>5250</v>
      </c>
      <c r="G190" s="59"/>
      <c r="H190" s="59"/>
      <c r="I190" s="59"/>
      <c r="J190" s="59">
        <f>SUM(F300:F300)</f>
        <v>97846480</v>
      </c>
      <c r="K190" s="59"/>
      <c r="L190" s="59"/>
      <c r="M190" s="59"/>
    </row>
    <row r="191" spans="1:13" ht="10.5" customHeight="1">
      <c r="A191" s="2645" t="s">
        <v>133</v>
      </c>
      <c r="B191" s="1899" t="s">
        <v>133</v>
      </c>
      <c r="C191" s="1901" t="s">
        <v>124</v>
      </c>
      <c r="D191" s="1899">
        <v>1</v>
      </c>
      <c r="E191" s="1900">
        <v>66</v>
      </c>
      <c r="F191" s="1901">
        <v>9900</v>
      </c>
      <c r="G191" s="59"/>
      <c r="H191" s="59"/>
      <c r="I191" s="59"/>
      <c r="J191" s="59">
        <f>SUM(J183:J190)</f>
        <v>113654529</v>
      </c>
      <c r="K191" s="59"/>
      <c r="L191" s="59"/>
      <c r="M191" s="59"/>
    </row>
    <row r="192" spans="1:13" ht="10.5" customHeight="1">
      <c r="A192" s="2645" t="s">
        <v>133</v>
      </c>
      <c r="B192" s="1899" t="s">
        <v>133</v>
      </c>
      <c r="C192" s="1901" t="s">
        <v>189</v>
      </c>
      <c r="D192" s="1899">
        <v>85</v>
      </c>
      <c r="E192" s="1900">
        <v>5200</v>
      </c>
      <c r="F192" s="1901">
        <v>780000</v>
      </c>
      <c r="G192" s="59"/>
      <c r="H192" s="59"/>
      <c r="I192" s="59"/>
      <c r="J192" s="59"/>
      <c r="K192" s="59"/>
      <c r="L192" s="59"/>
      <c r="M192" s="59"/>
    </row>
    <row r="193" spans="1:13" ht="10.5" customHeight="1">
      <c r="A193" s="2645" t="s">
        <v>133</v>
      </c>
      <c r="B193" s="1899" t="s">
        <v>133</v>
      </c>
      <c r="C193" s="1901" t="s">
        <v>242</v>
      </c>
      <c r="D193" s="1899">
        <v>1</v>
      </c>
      <c r="E193" s="1900">
        <v>46</v>
      </c>
      <c r="F193" s="1901">
        <v>6900</v>
      </c>
      <c r="G193" s="59"/>
      <c r="H193" s="59"/>
      <c r="I193" s="59"/>
      <c r="J193" s="59"/>
      <c r="K193" s="59"/>
      <c r="L193" s="59"/>
      <c r="M193" s="59"/>
    </row>
    <row r="194" spans="1:13" ht="10.5" customHeight="1">
      <c r="A194" s="2645" t="s">
        <v>133</v>
      </c>
      <c r="B194" s="1899" t="s">
        <v>133</v>
      </c>
      <c r="C194" s="1901" t="s">
        <v>243</v>
      </c>
      <c r="D194" s="1899">
        <v>5</v>
      </c>
      <c r="E194" s="1900">
        <v>322</v>
      </c>
      <c r="F194" s="1901">
        <v>48300</v>
      </c>
      <c r="G194" s="59"/>
      <c r="H194" s="59"/>
      <c r="I194" s="59"/>
      <c r="J194" s="59"/>
      <c r="K194" s="59"/>
      <c r="L194" s="59"/>
      <c r="M194" s="59"/>
    </row>
    <row r="195" spans="1:13" ht="10.5" customHeight="1">
      <c r="A195" s="2645" t="s">
        <v>133</v>
      </c>
      <c r="B195" s="1899" t="s">
        <v>133</v>
      </c>
      <c r="C195" s="1901" t="s">
        <v>244</v>
      </c>
      <c r="D195" s="1899">
        <v>6</v>
      </c>
      <c r="E195" s="1900">
        <v>389</v>
      </c>
      <c r="F195" s="1901">
        <v>58350</v>
      </c>
      <c r="G195" s="59"/>
      <c r="H195" s="59"/>
      <c r="I195" s="59"/>
      <c r="J195" s="59"/>
      <c r="K195" s="59"/>
      <c r="L195" s="59"/>
      <c r="M195" s="59"/>
    </row>
    <row r="196" spans="1:13" ht="10.5" customHeight="1">
      <c r="A196" s="2645" t="s">
        <v>133</v>
      </c>
      <c r="B196" s="1899" t="s">
        <v>133</v>
      </c>
      <c r="C196" s="1901" t="s">
        <v>206</v>
      </c>
      <c r="D196" s="1899">
        <v>7</v>
      </c>
      <c r="E196" s="1900">
        <v>332</v>
      </c>
      <c r="F196" s="1901">
        <v>49800</v>
      </c>
      <c r="G196" s="59"/>
      <c r="H196" s="59"/>
      <c r="I196" s="59"/>
      <c r="J196" s="59"/>
      <c r="K196" s="59"/>
      <c r="L196" s="59"/>
      <c r="M196" s="59"/>
    </row>
    <row r="197" spans="1:13" ht="10.5" customHeight="1">
      <c r="A197" s="2645" t="s">
        <v>133</v>
      </c>
      <c r="B197" s="1899" t="s">
        <v>133</v>
      </c>
      <c r="C197" s="1901" t="s">
        <v>245</v>
      </c>
      <c r="D197" s="1899">
        <v>2</v>
      </c>
      <c r="E197" s="1900">
        <v>126</v>
      </c>
      <c r="F197" s="1901">
        <v>18900</v>
      </c>
      <c r="G197" s="59"/>
      <c r="H197" s="59"/>
      <c r="I197" s="59"/>
      <c r="J197" s="59"/>
      <c r="K197" s="59"/>
      <c r="L197" s="59"/>
      <c r="M197" s="59"/>
    </row>
    <row r="198" spans="1:13" ht="10.5" customHeight="1">
      <c r="A198" s="2645" t="s">
        <v>133</v>
      </c>
      <c r="B198" s="1899" t="s">
        <v>133</v>
      </c>
      <c r="C198" s="1901" t="s">
        <v>151</v>
      </c>
      <c r="D198" s="1899">
        <v>1</v>
      </c>
      <c r="E198" s="1900">
        <v>45</v>
      </c>
      <c r="F198" s="1901">
        <v>6750</v>
      </c>
      <c r="G198" s="59"/>
      <c r="H198" s="59"/>
      <c r="I198" s="59"/>
      <c r="J198" s="59"/>
      <c r="K198" s="59"/>
      <c r="L198" s="59"/>
      <c r="M198" s="59"/>
    </row>
    <row r="199" spans="1:13" ht="10.5" customHeight="1">
      <c r="A199" s="2645" t="s">
        <v>133</v>
      </c>
      <c r="B199" s="1899" t="s">
        <v>133</v>
      </c>
      <c r="C199" s="1901" t="s">
        <v>246</v>
      </c>
      <c r="D199" s="1899">
        <v>1</v>
      </c>
      <c r="E199" s="1900">
        <v>65</v>
      </c>
      <c r="F199" s="1901">
        <v>9750</v>
      </c>
      <c r="G199" s="59"/>
      <c r="H199" s="59"/>
      <c r="I199" s="59"/>
      <c r="J199" s="59"/>
      <c r="K199" s="59"/>
      <c r="L199" s="59"/>
      <c r="M199" s="59"/>
    </row>
    <row r="200" spans="1:13" ht="10.5" customHeight="1">
      <c r="A200" s="2645" t="s">
        <v>133</v>
      </c>
      <c r="B200" s="1899" t="s">
        <v>133</v>
      </c>
      <c r="C200" s="1901" t="s">
        <v>125</v>
      </c>
      <c r="D200" s="1899">
        <v>7</v>
      </c>
      <c r="E200" s="1900">
        <v>428</v>
      </c>
      <c r="F200" s="1901">
        <v>64200</v>
      </c>
      <c r="G200" s="59"/>
      <c r="H200" s="59"/>
      <c r="I200" s="59"/>
      <c r="J200" s="59"/>
      <c r="K200" s="59"/>
      <c r="L200" s="59"/>
      <c r="M200" s="59"/>
    </row>
    <row r="201" spans="1:13" ht="10.5" customHeight="1">
      <c r="A201" s="2645" t="s">
        <v>133</v>
      </c>
      <c r="B201" s="1899" t="s">
        <v>133</v>
      </c>
      <c r="C201" s="1901" t="s">
        <v>165</v>
      </c>
      <c r="D201" s="1899">
        <v>1</v>
      </c>
      <c r="E201" s="1900">
        <v>10</v>
      </c>
      <c r="F201" s="1901">
        <v>1500</v>
      </c>
      <c r="G201" s="59"/>
      <c r="H201" s="59"/>
      <c r="I201" s="59"/>
      <c r="J201" s="59"/>
      <c r="K201" s="59"/>
      <c r="L201" s="59"/>
      <c r="M201" s="59"/>
    </row>
    <row r="202" spans="1:13" ht="10.5" customHeight="1">
      <c r="A202" s="2645" t="s">
        <v>133</v>
      </c>
      <c r="B202" s="1899" t="s">
        <v>133</v>
      </c>
      <c r="C202" s="1901" t="s">
        <v>166</v>
      </c>
      <c r="D202" s="1899">
        <v>2</v>
      </c>
      <c r="E202" s="1900">
        <v>20</v>
      </c>
      <c r="F202" s="1901">
        <v>3000</v>
      </c>
      <c r="G202" s="59"/>
      <c r="H202" s="59"/>
      <c r="I202" s="59"/>
      <c r="J202" s="59"/>
      <c r="K202" s="59"/>
      <c r="L202" s="59"/>
      <c r="M202" s="59"/>
    </row>
    <row r="203" spans="1:13" ht="10.5" customHeight="1">
      <c r="A203" s="2645" t="s">
        <v>133</v>
      </c>
      <c r="B203" s="1899" t="s">
        <v>133</v>
      </c>
      <c r="C203" s="1901" t="s">
        <v>167</v>
      </c>
      <c r="D203" s="1899">
        <v>1</v>
      </c>
      <c r="E203" s="1900">
        <v>68</v>
      </c>
      <c r="F203" s="1901">
        <v>10200</v>
      </c>
      <c r="G203" s="59"/>
      <c r="H203" s="59"/>
      <c r="I203" s="59"/>
      <c r="J203" s="59"/>
      <c r="K203" s="59"/>
      <c r="L203" s="59"/>
      <c r="M203" s="59"/>
    </row>
    <row r="204" spans="1:13" ht="10.5" customHeight="1">
      <c r="A204" s="2645" t="s">
        <v>133</v>
      </c>
      <c r="B204" s="1899" t="s">
        <v>133</v>
      </c>
      <c r="C204" s="1901" t="s">
        <v>247</v>
      </c>
      <c r="D204" s="1899">
        <v>2</v>
      </c>
      <c r="E204" s="1900">
        <v>75</v>
      </c>
      <c r="F204" s="1901">
        <v>11250</v>
      </c>
      <c r="G204" s="59"/>
      <c r="H204" s="59"/>
      <c r="I204" s="59"/>
      <c r="J204" s="59"/>
      <c r="K204" s="59"/>
      <c r="L204" s="59"/>
      <c r="M204" s="59"/>
    </row>
    <row r="205" spans="1:13" ht="10.5" customHeight="1">
      <c r="A205" s="2645" t="s">
        <v>133</v>
      </c>
      <c r="B205" s="1899" t="s">
        <v>133</v>
      </c>
      <c r="C205" s="1901" t="s">
        <v>168</v>
      </c>
      <c r="D205" s="1899">
        <v>5</v>
      </c>
      <c r="E205" s="1900">
        <v>330</v>
      </c>
      <c r="F205" s="1901">
        <v>49500</v>
      </c>
      <c r="G205" s="59"/>
      <c r="H205" s="59"/>
      <c r="I205" s="59"/>
      <c r="J205" s="59"/>
      <c r="K205" s="59"/>
      <c r="L205" s="59"/>
      <c r="M205" s="59"/>
    </row>
    <row r="206" spans="1:13" ht="10.5" customHeight="1">
      <c r="A206" s="2645" t="s">
        <v>133</v>
      </c>
      <c r="B206" s="1899" t="s">
        <v>133</v>
      </c>
      <c r="C206" s="1901" t="s">
        <v>193</v>
      </c>
      <c r="D206" s="1899">
        <v>54</v>
      </c>
      <c r="E206" s="1900">
        <v>2516</v>
      </c>
      <c r="F206" s="1901">
        <v>377400</v>
      </c>
      <c r="G206" s="59"/>
      <c r="H206" s="59"/>
      <c r="I206" s="59"/>
      <c r="J206" s="59"/>
      <c r="K206" s="59"/>
      <c r="L206" s="59"/>
      <c r="M206" s="59"/>
    </row>
    <row r="207" spans="1:13" ht="10.5" customHeight="1">
      <c r="A207" s="2645" t="s">
        <v>133</v>
      </c>
      <c r="B207" s="1899" t="s">
        <v>133</v>
      </c>
      <c r="C207" s="1901" t="s">
        <v>248</v>
      </c>
      <c r="D207" s="1899">
        <v>2</v>
      </c>
      <c r="E207" s="1900">
        <v>120</v>
      </c>
      <c r="F207" s="1901">
        <v>18000</v>
      </c>
      <c r="G207" s="59"/>
      <c r="H207" s="59"/>
      <c r="I207" s="59"/>
      <c r="J207" s="59"/>
      <c r="K207" s="59"/>
      <c r="L207" s="59"/>
      <c r="M207" s="59"/>
    </row>
    <row r="208" spans="1:13" ht="10.5" customHeight="1">
      <c r="A208" s="2645" t="s">
        <v>133</v>
      </c>
      <c r="B208" s="1899" t="s">
        <v>133</v>
      </c>
      <c r="C208" s="1901" t="s">
        <v>169</v>
      </c>
      <c r="D208" s="1899">
        <v>35</v>
      </c>
      <c r="E208" s="1900">
        <v>1467</v>
      </c>
      <c r="F208" s="1901">
        <v>220050</v>
      </c>
      <c r="G208" s="59"/>
      <c r="H208" s="59"/>
      <c r="I208" s="59"/>
      <c r="J208" s="59"/>
      <c r="K208" s="59"/>
      <c r="L208" s="59"/>
      <c r="M208" s="59"/>
    </row>
    <row r="209" spans="1:13" ht="10.5" customHeight="1">
      <c r="A209" s="2645" t="s">
        <v>133</v>
      </c>
      <c r="B209" s="1899" t="s">
        <v>133</v>
      </c>
      <c r="C209" s="1901" t="s">
        <v>249</v>
      </c>
      <c r="D209" s="1899">
        <v>1</v>
      </c>
      <c r="E209" s="1900">
        <v>50</v>
      </c>
      <c r="F209" s="1901">
        <v>7500</v>
      </c>
      <c r="G209" s="59"/>
      <c r="H209" s="59"/>
      <c r="I209" s="59"/>
      <c r="J209" s="59"/>
      <c r="K209" s="59"/>
      <c r="L209" s="59"/>
      <c r="M209" s="59"/>
    </row>
    <row r="210" spans="1:13" ht="10.5" customHeight="1">
      <c r="A210" s="2645" t="s">
        <v>133</v>
      </c>
      <c r="B210" s="1899" t="s">
        <v>133</v>
      </c>
      <c r="C210" s="1901" t="s">
        <v>250</v>
      </c>
      <c r="D210" s="1899">
        <v>1</v>
      </c>
      <c r="E210" s="1900">
        <v>68</v>
      </c>
      <c r="F210" s="1901">
        <v>10200</v>
      </c>
      <c r="G210" s="59"/>
      <c r="H210" s="59"/>
      <c r="I210" s="59"/>
      <c r="J210" s="59"/>
      <c r="K210" s="59"/>
      <c r="L210" s="59"/>
      <c r="M210" s="59"/>
    </row>
    <row r="211" spans="1:13" ht="10.5" customHeight="1">
      <c r="A211" s="2645" t="s">
        <v>133</v>
      </c>
      <c r="B211" s="1899" t="s">
        <v>133</v>
      </c>
      <c r="C211" s="1901" t="s">
        <v>251</v>
      </c>
      <c r="D211" s="1899">
        <v>9</v>
      </c>
      <c r="E211" s="1900">
        <v>425</v>
      </c>
      <c r="F211" s="1901">
        <v>63750</v>
      </c>
      <c r="G211" s="59"/>
      <c r="H211" s="59"/>
      <c r="I211" s="59"/>
      <c r="J211" s="59"/>
      <c r="K211" s="59"/>
      <c r="L211" s="59"/>
      <c r="M211" s="59"/>
    </row>
    <row r="212" spans="1:13" ht="10.5" customHeight="1">
      <c r="A212" s="2645" t="s">
        <v>133</v>
      </c>
      <c r="B212" s="1899" t="s">
        <v>133</v>
      </c>
      <c r="C212" s="1901" t="s">
        <v>161</v>
      </c>
      <c r="D212" s="1899">
        <v>42</v>
      </c>
      <c r="E212" s="1900">
        <v>1957</v>
      </c>
      <c r="F212" s="1901">
        <v>293550</v>
      </c>
      <c r="G212" s="59"/>
      <c r="H212" s="59"/>
      <c r="I212" s="59"/>
      <c r="J212" s="59"/>
      <c r="K212" s="59"/>
      <c r="L212" s="59"/>
      <c r="M212" s="59"/>
    </row>
    <row r="213" spans="1:13" ht="10.5" customHeight="1">
      <c r="A213" s="2645" t="s">
        <v>133</v>
      </c>
      <c r="B213" s="1899" t="s">
        <v>133</v>
      </c>
      <c r="C213" s="1901" t="s">
        <v>172</v>
      </c>
      <c r="D213" s="1899">
        <v>11</v>
      </c>
      <c r="E213" s="1900">
        <v>573</v>
      </c>
      <c r="F213" s="1901">
        <v>85950</v>
      </c>
      <c r="G213" s="59"/>
      <c r="H213" s="59"/>
      <c r="I213" s="59"/>
      <c r="J213" s="59"/>
      <c r="K213" s="59"/>
      <c r="L213" s="59"/>
      <c r="M213" s="59"/>
    </row>
    <row r="214" spans="1:13" ht="10.5" customHeight="1">
      <c r="A214" s="2645" t="s">
        <v>133</v>
      </c>
      <c r="B214" s="1899" t="s">
        <v>133</v>
      </c>
      <c r="C214" s="1901" t="s">
        <v>252</v>
      </c>
      <c r="D214" s="1899">
        <v>1</v>
      </c>
      <c r="E214" s="1900">
        <v>45</v>
      </c>
      <c r="F214" s="1901">
        <v>6750</v>
      </c>
      <c r="G214" s="59"/>
      <c r="H214" s="59"/>
      <c r="I214" s="59"/>
      <c r="J214" s="59"/>
      <c r="K214" s="59"/>
      <c r="L214" s="59"/>
      <c r="M214" s="59"/>
    </row>
    <row r="215" spans="1:13" ht="10.5" customHeight="1">
      <c r="A215" s="2645" t="s">
        <v>133</v>
      </c>
      <c r="B215" s="1900" t="s">
        <v>133</v>
      </c>
      <c r="C215" s="1901" t="s">
        <v>139</v>
      </c>
      <c r="D215" s="1899">
        <v>1541</v>
      </c>
      <c r="E215" s="1900">
        <v>89215</v>
      </c>
      <c r="F215" s="1901">
        <v>13382250</v>
      </c>
      <c r="G215" s="59"/>
      <c r="H215" s="59"/>
      <c r="I215" s="59"/>
      <c r="J215" s="59"/>
      <c r="K215" s="59"/>
      <c r="L215" s="59"/>
      <c r="M215" s="59"/>
    </row>
    <row r="216" spans="1:13" ht="10.5" customHeight="1">
      <c r="A216" s="2645" t="s">
        <v>133</v>
      </c>
      <c r="B216" s="1900" t="s">
        <v>133</v>
      </c>
      <c r="C216" s="1901" t="s">
        <v>253</v>
      </c>
      <c r="D216" s="1899">
        <v>4</v>
      </c>
      <c r="E216" s="1900">
        <v>256</v>
      </c>
      <c r="F216" s="1901">
        <v>38400</v>
      </c>
      <c r="G216" s="59"/>
      <c r="H216" s="59"/>
      <c r="I216" s="59"/>
      <c r="J216" s="59"/>
      <c r="K216" s="59"/>
      <c r="L216" s="59"/>
      <c r="M216" s="59"/>
    </row>
    <row r="217" spans="1:13" ht="10.5" customHeight="1">
      <c r="A217" s="2645" t="s">
        <v>133</v>
      </c>
      <c r="B217" s="1900" t="s">
        <v>133</v>
      </c>
      <c r="C217" s="1901" t="s">
        <v>165</v>
      </c>
      <c r="D217" s="1899">
        <v>7</v>
      </c>
      <c r="E217" s="1900">
        <v>180</v>
      </c>
      <c r="F217" s="1901">
        <v>27000</v>
      </c>
      <c r="G217" s="59"/>
      <c r="H217" s="59"/>
      <c r="I217" s="59"/>
      <c r="J217" s="59"/>
      <c r="K217" s="59"/>
      <c r="L217" s="59"/>
      <c r="M217" s="59"/>
    </row>
    <row r="218" spans="1:13" ht="10.5" customHeight="1">
      <c r="A218" s="2645" t="s">
        <v>133</v>
      </c>
      <c r="B218" s="1900" t="s">
        <v>133</v>
      </c>
      <c r="C218" s="1901" t="s">
        <v>170</v>
      </c>
      <c r="D218" s="1899">
        <v>136</v>
      </c>
      <c r="E218" s="1900">
        <v>8528</v>
      </c>
      <c r="F218" s="1901">
        <v>1279200</v>
      </c>
      <c r="G218" s="59"/>
      <c r="H218" s="59"/>
      <c r="I218" s="59"/>
      <c r="J218" s="59"/>
      <c r="K218" s="59"/>
      <c r="L218" s="59"/>
      <c r="M218" s="59"/>
    </row>
    <row r="219" spans="1:13" ht="10.5" customHeight="1">
      <c r="A219" s="2645" t="s">
        <v>133</v>
      </c>
      <c r="B219" s="1900" t="s">
        <v>133</v>
      </c>
      <c r="C219" s="1901" t="s">
        <v>254</v>
      </c>
      <c r="D219" s="1899">
        <v>250</v>
      </c>
      <c r="E219" s="1900">
        <v>8862</v>
      </c>
      <c r="F219" s="1901">
        <v>1329300</v>
      </c>
      <c r="G219" s="59"/>
      <c r="H219" s="59"/>
      <c r="I219" s="59"/>
      <c r="J219" s="59"/>
      <c r="K219" s="59"/>
      <c r="L219" s="59"/>
      <c r="M219" s="59"/>
    </row>
    <row r="220" spans="1:13" ht="10.5" customHeight="1">
      <c r="A220" s="2645" t="s">
        <v>133</v>
      </c>
      <c r="B220" s="1900" t="s">
        <v>133</v>
      </c>
      <c r="C220" s="1901" t="s">
        <v>168</v>
      </c>
      <c r="D220" s="1899">
        <v>1</v>
      </c>
      <c r="E220" s="1900">
        <v>51</v>
      </c>
      <c r="F220" s="1901">
        <v>7650</v>
      </c>
      <c r="G220" s="59"/>
      <c r="H220" s="59"/>
      <c r="I220" s="59"/>
      <c r="J220" s="59"/>
      <c r="K220" s="59"/>
      <c r="L220" s="59"/>
      <c r="M220" s="59"/>
    </row>
    <row r="221" spans="1:13" ht="10.5" customHeight="1">
      <c r="A221" s="2645" t="s">
        <v>133</v>
      </c>
      <c r="B221" s="1900" t="s">
        <v>133</v>
      </c>
      <c r="C221" s="1901" t="s">
        <v>255</v>
      </c>
      <c r="D221" s="1899">
        <v>2</v>
      </c>
      <c r="E221" s="1900">
        <v>48</v>
      </c>
      <c r="F221" s="1901">
        <v>7200</v>
      </c>
      <c r="G221" s="59"/>
      <c r="H221" s="59"/>
      <c r="I221" s="59"/>
      <c r="J221" s="59"/>
      <c r="K221" s="59"/>
      <c r="L221" s="59"/>
      <c r="M221" s="59"/>
    </row>
    <row r="222" spans="1:13" ht="10.5" customHeight="1">
      <c r="A222" s="2645" t="s">
        <v>133</v>
      </c>
      <c r="B222" s="1900" t="s">
        <v>133</v>
      </c>
      <c r="C222" s="1901" t="s">
        <v>169</v>
      </c>
      <c r="D222" s="1899">
        <v>5</v>
      </c>
      <c r="E222" s="1900">
        <v>92</v>
      </c>
      <c r="F222" s="1901">
        <v>13800</v>
      </c>
      <c r="G222" s="59"/>
      <c r="H222" s="59"/>
      <c r="I222" s="59"/>
      <c r="J222" s="59"/>
      <c r="K222" s="59"/>
      <c r="L222" s="59"/>
      <c r="M222" s="59"/>
    </row>
    <row r="223" spans="1:13" ht="10.5" customHeight="1">
      <c r="A223" s="2883" t="s">
        <v>256</v>
      </c>
      <c r="B223" s="2884"/>
      <c r="C223" s="2885"/>
      <c r="D223" s="1902">
        <f>SUM(D149:D222)</f>
        <v>3570</v>
      </c>
      <c r="E223" s="1903">
        <f>SUM(E149:E222)</f>
        <v>164321</v>
      </c>
      <c r="F223" s="1904">
        <f>SUM(F149:F222)</f>
        <v>24648150</v>
      </c>
      <c r="G223" s="59"/>
      <c r="H223" s="59"/>
      <c r="I223" s="59"/>
      <c r="J223" s="59"/>
      <c r="K223" s="59"/>
      <c r="L223" s="59"/>
      <c r="M223" s="59"/>
    </row>
    <row r="224" spans="1:13" ht="10.5" customHeight="1">
      <c r="A224" s="2645" t="s">
        <v>257</v>
      </c>
      <c r="B224" s="1900" t="s">
        <v>258</v>
      </c>
      <c r="C224" s="1901" t="s">
        <v>109</v>
      </c>
      <c r="D224" s="1899">
        <v>7</v>
      </c>
      <c r="E224" s="1900">
        <v>370</v>
      </c>
      <c r="F224" s="1901">
        <v>55500</v>
      </c>
      <c r="G224" s="59"/>
      <c r="H224" s="59"/>
      <c r="I224" s="59"/>
      <c r="J224" s="59"/>
      <c r="K224" s="59"/>
      <c r="L224" s="59"/>
      <c r="M224" s="59"/>
    </row>
    <row r="225" spans="1:13" ht="10.5" customHeight="1">
      <c r="A225" s="2645" t="s">
        <v>257</v>
      </c>
      <c r="B225" s="1900" t="s">
        <v>258</v>
      </c>
      <c r="C225" s="1901" t="s">
        <v>176</v>
      </c>
      <c r="D225" s="1899">
        <v>1</v>
      </c>
      <c r="E225" s="1900">
        <v>66</v>
      </c>
      <c r="F225" s="1901">
        <v>9900</v>
      </c>
      <c r="G225" s="59"/>
      <c r="H225" s="59"/>
      <c r="I225" s="59"/>
      <c r="J225" s="59"/>
      <c r="K225" s="59"/>
      <c r="L225" s="59"/>
      <c r="M225" s="59"/>
    </row>
    <row r="226" spans="1:13" ht="10.5" customHeight="1">
      <c r="A226" s="2645" t="s">
        <v>257</v>
      </c>
      <c r="B226" s="1900" t="s">
        <v>258</v>
      </c>
      <c r="C226" s="1901" t="s">
        <v>140</v>
      </c>
      <c r="D226" s="1899">
        <v>4</v>
      </c>
      <c r="E226" s="1900">
        <v>211</v>
      </c>
      <c r="F226" s="1901">
        <v>31650</v>
      </c>
      <c r="G226" s="59"/>
      <c r="H226" s="59"/>
      <c r="I226" s="59"/>
      <c r="J226" s="59"/>
      <c r="K226" s="59"/>
      <c r="L226" s="59"/>
      <c r="M226" s="59"/>
    </row>
    <row r="227" spans="1:13" ht="10.5" customHeight="1">
      <c r="A227" s="2645" t="s">
        <v>257</v>
      </c>
      <c r="B227" s="1900" t="s">
        <v>258</v>
      </c>
      <c r="C227" s="1901" t="s">
        <v>259</v>
      </c>
      <c r="D227" s="1899">
        <v>1</v>
      </c>
      <c r="E227" s="1900">
        <v>65</v>
      </c>
      <c r="F227" s="1901">
        <v>9750</v>
      </c>
      <c r="G227" s="59"/>
      <c r="H227" s="59"/>
      <c r="I227" s="59"/>
      <c r="J227" s="59"/>
      <c r="K227" s="59"/>
      <c r="L227" s="59"/>
      <c r="M227" s="59"/>
    </row>
    <row r="228" spans="1:13" ht="10.5" customHeight="1">
      <c r="A228" s="2645" t="s">
        <v>257</v>
      </c>
      <c r="B228" s="1900" t="s">
        <v>258</v>
      </c>
      <c r="C228" s="1901" t="s">
        <v>178</v>
      </c>
      <c r="D228" s="1899">
        <v>3</v>
      </c>
      <c r="E228" s="1900">
        <v>156</v>
      </c>
      <c r="F228" s="1901">
        <v>23400</v>
      </c>
      <c r="G228" s="59"/>
      <c r="H228" s="59"/>
      <c r="I228" s="59"/>
      <c r="J228" s="59"/>
      <c r="K228" s="59"/>
      <c r="L228" s="59"/>
      <c r="M228" s="59"/>
    </row>
    <row r="229" spans="1:13" ht="10.5" customHeight="1">
      <c r="A229" s="2645" t="s">
        <v>257</v>
      </c>
      <c r="B229" s="1900" t="s">
        <v>258</v>
      </c>
      <c r="C229" s="1901" t="s">
        <v>181</v>
      </c>
      <c r="D229" s="1899">
        <v>3</v>
      </c>
      <c r="E229" s="1900">
        <v>192</v>
      </c>
      <c r="F229" s="1901">
        <v>28800</v>
      </c>
      <c r="G229" s="59"/>
      <c r="H229" s="59"/>
      <c r="I229" s="59"/>
      <c r="J229" s="59"/>
      <c r="K229" s="59"/>
      <c r="L229" s="59"/>
      <c r="M229" s="59"/>
    </row>
    <row r="230" spans="1:13" ht="10.5" customHeight="1">
      <c r="A230" s="2645" t="s">
        <v>257</v>
      </c>
      <c r="B230" s="1900" t="s">
        <v>258</v>
      </c>
      <c r="C230" s="1901" t="s">
        <v>182</v>
      </c>
      <c r="D230" s="1899">
        <v>1</v>
      </c>
      <c r="E230" s="1900">
        <v>68</v>
      </c>
      <c r="F230" s="1901">
        <v>10200</v>
      </c>
      <c r="G230" s="59"/>
      <c r="H230" s="59"/>
      <c r="I230" s="59"/>
      <c r="J230" s="59"/>
      <c r="K230" s="59"/>
      <c r="L230" s="59"/>
      <c r="M230" s="59"/>
    </row>
    <row r="231" spans="1:13" ht="10.5" customHeight="1">
      <c r="A231" s="2645" t="s">
        <v>257</v>
      </c>
      <c r="B231" s="1900" t="s">
        <v>258</v>
      </c>
      <c r="C231" s="1901" t="s">
        <v>144</v>
      </c>
      <c r="D231" s="1899">
        <v>1</v>
      </c>
      <c r="E231" s="1900">
        <v>56</v>
      </c>
      <c r="F231" s="1901">
        <v>8400</v>
      </c>
      <c r="G231" s="59"/>
      <c r="H231" s="59"/>
      <c r="I231" s="59"/>
      <c r="J231" s="59"/>
      <c r="K231" s="59"/>
      <c r="L231" s="59"/>
      <c r="M231" s="59"/>
    </row>
    <row r="232" spans="1:13" ht="10.5" customHeight="1">
      <c r="A232" s="2645" t="s">
        <v>257</v>
      </c>
      <c r="B232" s="1900" t="s">
        <v>258</v>
      </c>
      <c r="C232" s="1901" t="s">
        <v>260</v>
      </c>
      <c r="D232" s="1899">
        <v>1</v>
      </c>
      <c r="E232" s="1900">
        <v>64</v>
      </c>
      <c r="F232" s="1901">
        <v>9600</v>
      </c>
      <c r="G232" s="59"/>
      <c r="H232" s="59"/>
      <c r="I232" s="59"/>
      <c r="J232" s="59"/>
      <c r="K232" s="59"/>
      <c r="L232" s="59"/>
      <c r="M232" s="59"/>
    </row>
    <row r="233" spans="1:13" ht="10.5" customHeight="1">
      <c r="A233" s="2645" t="s">
        <v>257</v>
      </c>
      <c r="B233" s="1900" t="s">
        <v>258</v>
      </c>
      <c r="C233" s="1901" t="s">
        <v>204</v>
      </c>
      <c r="D233" s="1899">
        <v>1</v>
      </c>
      <c r="E233" s="1900">
        <v>68</v>
      </c>
      <c r="F233" s="1901">
        <v>10200</v>
      </c>
      <c r="G233" s="59"/>
      <c r="H233" s="59"/>
      <c r="I233" s="59"/>
      <c r="J233" s="59"/>
      <c r="K233" s="59"/>
      <c r="L233" s="59"/>
      <c r="M233" s="59"/>
    </row>
    <row r="234" spans="1:13" ht="10.5" customHeight="1">
      <c r="A234" s="2645" t="s">
        <v>257</v>
      </c>
      <c r="B234" s="1900" t="s">
        <v>258</v>
      </c>
      <c r="C234" s="1901" t="s">
        <v>193</v>
      </c>
      <c r="D234" s="1899">
        <v>1</v>
      </c>
      <c r="E234" s="1900">
        <v>50</v>
      </c>
      <c r="F234" s="1901">
        <v>7500</v>
      </c>
      <c r="G234" s="59"/>
      <c r="H234" s="59"/>
      <c r="I234" s="59"/>
      <c r="J234" s="59"/>
      <c r="K234" s="59"/>
      <c r="L234" s="59"/>
      <c r="M234" s="59"/>
    </row>
    <row r="235" spans="1:13" ht="10.5" customHeight="1">
      <c r="A235" s="2645" t="s">
        <v>257</v>
      </c>
      <c r="B235" s="1900" t="s">
        <v>258</v>
      </c>
      <c r="C235" s="1901" t="s">
        <v>251</v>
      </c>
      <c r="D235" s="1899">
        <v>1</v>
      </c>
      <c r="E235" s="1900">
        <v>55</v>
      </c>
      <c r="F235" s="1901">
        <v>8250</v>
      </c>
      <c r="G235" s="59"/>
      <c r="H235" s="59"/>
      <c r="I235" s="59"/>
      <c r="J235" s="59"/>
      <c r="K235" s="59"/>
      <c r="L235" s="59"/>
      <c r="M235" s="59"/>
    </row>
    <row r="236" spans="1:13" ht="10.5" customHeight="1">
      <c r="A236" s="2645" t="s">
        <v>257</v>
      </c>
      <c r="B236" s="1900" t="s">
        <v>257</v>
      </c>
      <c r="C236" s="1901" t="s">
        <v>261</v>
      </c>
      <c r="D236" s="1899">
        <v>1</v>
      </c>
      <c r="E236" s="1900">
        <v>51</v>
      </c>
      <c r="F236" s="1901">
        <v>7650</v>
      </c>
      <c r="G236" s="59"/>
      <c r="H236" s="59"/>
      <c r="I236" s="59"/>
      <c r="J236" s="59"/>
      <c r="K236" s="59"/>
      <c r="L236" s="59"/>
      <c r="M236" s="59"/>
    </row>
    <row r="237" spans="1:13" ht="10.5" customHeight="1">
      <c r="A237" s="2645" t="s">
        <v>257</v>
      </c>
      <c r="B237" s="1900" t="s">
        <v>164</v>
      </c>
      <c r="C237" s="1901" t="s">
        <v>262</v>
      </c>
      <c r="D237" s="1899">
        <v>1</v>
      </c>
      <c r="E237" s="1900">
        <v>20</v>
      </c>
      <c r="F237" s="1901">
        <v>38056</v>
      </c>
      <c r="G237" s="59"/>
      <c r="H237" s="59"/>
      <c r="I237" s="59"/>
      <c r="J237" s="59"/>
      <c r="K237" s="59"/>
      <c r="L237" s="59"/>
      <c r="M237" s="59"/>
    </row>
    <row r="238" spans="1:13" ht="10.5" customHeight="1">
      <c r="A238" s="2645" t="s">
        <v>257</v>
      </c>
      <c r="B238" s="1900" t="s">
        <v>164</v>
      </c>
      <c r="C238" s="1901" t="s">
        <v>165</v>
      </c>
      <c r="D238" s="1899">
        <v>28</v>
      </c>
      <c r="E238" s="1900">
        <v>1116</v>
      </c>
      <c r="F238" s="1901">
        <v>2123548</v>
      </c>
      <c r="G238" s="59"/>
      <c r="H238" s="59"/>
      <c r="I238" s="59"/>
      <c r="J238" s="59"/>
      <c r="K238" s="59"/>
      <c r="L238" s="59"/>
      <c r="M238" s="59"/>
    </row>
    <row r="239" spans="1:13" ht="10.5" customHeight="1">
      <c r="A239" s="2645" t="s">
        <v>257</v>
      </c>
      <c r="B239" s="1900" t="s">
        <v>164</v>
      </c>
      <c r="C239" s="1901" t="s">
        <v>166</v>
      </c>
      <c r="D239" s="1899">
        <v>13</v>
      </c>
      <c r="E239" s="1900">
        <v>44</v>
      </c>
      <c r="F239" s="1901">
        <v>83724</v>
      </c>
      <c r="G239" s="59"/>
      <c r="H239" s="59"/>
      <c r="I239" s="59"/>
      <c r="J239" s="59"/>
      <c r="K239" s="59"/>
      <c r="L239" s="59"/>
      <c r="M239" s="59"/>
    </row>
    <row r="240" spans="1:13" ht="10.5" customHeight="1">
      <c r="A240" s="2645" t="s">
        <v>257</v>
      </c>
      <c r="B240" s="1900" t="s">
        <v>132</v>
      </c>
      <c r="C240" s="1901" t="s">
        <v>154</v>
      </c>
      <c r="D240" s="1899">
        <v>2</v>
      </c>
      <c r="E240" s="1900">
        <v>101</v>
      </c>
      <c r="F240" s="1901">
        <v>152990</v>
      </c>
      <c r="G240" s="59"/>
      <c r="H240" s="59"/>
      <c r="I240" s="59"/>
      <c r="J240" s="59"/>
      <c r="K240" s="59"/>
      <c r="L240" s="59"/>
      <c r="M240" s="59"/>
    </row>
    <row r="241" spans="1:13" ht="10.5" customHeight="1">
      <c r="A241" s="2645" t="s">
        <v>258</v>
      </c>
      <c r="B241" s="1900" t="s">
        <v>257</v>
      </c>
      <c r="C241" s="1901" t="s">
        <v>109</v>
      </c>
      <c r="D241" s="1899">
        <v>4</v>
      </c>
      <c r="E241" s="1900">
        <v>246</v>
      </c>
      <c r="F241" s="1901">
        <v>36900</v>
      </c>
      <c r="G241" s="59"/>
      <c r="H241" s="59"/>
      <c r="I241" s="59"/>
      <c r="J241" s="59"/>
      <c r="K241" s="59"/>
      <c r="L241" s="59"/>
      <c r="M241" s="59"/>
    </row>
    <row r="242" spans="1:13" ht="10.5" customHeight="1">
      <c r="A242" s="2645" t="s">
        <v>258</v>
      </c>
      <c r="B242" s="1900" t="s">
        <v>257</v>
      </c>
      <c r="C242" s="1901" t="s">
        <v>139</v>
      </c>
      <c r="D242" s="1899">
        <v>3</v>
      </c>
      <c r="E242" s="1900">
        <v>181</v>
      </c>
      <c r="F242" s="1901">
        <v>27150</v>
      </c>
      <c r="G242" s="59"/>
      <c r="H242" s="59"/>
      <c r="I242" s="59"/>
      <c r="J242" s="59"/>
      <c r="K242" s="59"/>
      <c r="L242" s="59"/>
      <c r="M242" s="59"/>
    </row>
    <row r="243" spans="1:13" ht="10.5" customHeight="1">
      <c r="A243" s="2645" t="s">
        <v>258</v>
      </c>
      <c r="B243" s="1900" t="s">
        <v>257</v>
      </c>
      <c r="C243" s="1901" t="s">
        <v>114</v>
      </c>
      <c r="D243" s="1899">
        <v>8</v>
      </c>
      <c r="E243" s="1900">
        <v>519</v>
      </c>
      <c r="F243" s="1901">
        <v>77850</v>
      </c>
      <c r="G243" s="59"/>
      <c r="H243" s="59"/>
      <c r="I243" s="59"/>
      <c r="J243" s="59"/>
      <c r="K243" s="59"/>
      <c r="L243" s="59"/>
      <c r="M243" s="59"/>
    </row>
    <row r="244" spans="1:13" ht="10.5" customHeight="1">
      <c r="A244" s="2645" t="s">
        <v>258</v>
      </c>
      <c r="B244" s="1900" t="s">
        <v>164</v>
      </c>
      <c r="C244" s="1901" t="s">
        <v>109</v>
      </c>
      <c r="D244" s="1899">
        <v>1</v>
      </c>
      <c r="E244" s="1900">
        <v>45</v>
      </c>
      <c r="F244" s="1901">
        <v>86752</v>
      </c>
      <c r="G244" s="59"/>
      <c r="H244" s="59"/>
      <c r="I244" s="59"/>
      <c r="J244" s="59"/>
      <c r="K244" s="59"/>
      <c r="L244" s="59"/>
      <c r="M244" s="59"/>
    </row>
    <row r="245" spans="1:13" ht="10.5" customHeight="1">
      <c r="A245" s="2645" t="s">
        <v>258</v>
      </c>
      <c r="B245" s="1900" t="s">
        <v>164</v>
      </c>
      <c r="C245" s="1901" t="s">
        <v>262</v>
      </c>
      <c r="D245" s="1899">
        <v>23</v>
      </c>
      <c r="E245" s="1900">
        <v>532</v>
      </c>
      <c r="F245" s="1901">
        <v>1025601</v>
      </c>
      <c r="G245" s="59"/>
      <c r="H245" s="59"/>
      <c r="I245" s="59"/>
      <c r="J245" s="59"/>
      <c r="K245" s="59"/>
      <c r="L245" s="59"/>
      <c r="M245" s="59"/>
    </row>
    <row r="246" spans="1:13" ht="10.5" customHeight="1">
      <c r="A246" s="2645" t="s">
        <v>258</v>
      </c>
      <c r="B246" s="1900" t="s">
        <v>132</v>
      </c>
      <c r="C246" s="1901" t="s">
        <v>262</v>
      </c>
      <c r="D246" s="1899">
        <v>1</v>
      </c>
      <c r="E246" s="1900">
        <v>5</v>
      </c>
      <c r="F246" s="1901">
        <v>7804</v>
      </c>
      <c r="G246" s="59"/>
      <c r="H246" s="59"/>
      <c r="I246" s="59"/>
      <c r="J246" s="59"/>
      <c r="K246" s="59"/>
      <c r="L246" s="59"/>
      <c r="M246" s="59"/>
    </row>
    <row r="247" spans="1:13" ht="10.5" customHeight="1">
      <c r="A247" s="2645" t="s">
        <v>258</v>
      </c>
      <c r="B247" s="1900" t="s">
        <v>132</v>
      </c>
      <c r="C247" s="1901" t="s">
        <v>166</v>
      </c>
      <c r="D247" s="1899">
        <v>6</v>
      </c>
      <c r="E247" s="1900">
        <v>30</v>
      </c>
      <c r="F247" s="1901">
        <v>46823</v>
      </c>
      <c r="G247" s="59"/>
      <c r="H247" s="59"/>
      <c r="I247" s="59"/>
      <c r="J247" s="59"/>
      <c r="K247" s="59"/>
      <c r="L247" s="59"/>
      <c r="M247" s="59"/>
    </row>
    <row r="248" spans="1:13" ht="10.5" customHeight="1">
      <c r="A248" s="2645" t="s">
        <v>258</v>
      </c>
      <c r="B248" s="1900" t="s">
        <v>132</v>
      </c>
      <c r="C248" s="1901" t="s">
        <v>154</v>
      </c>
      <c r="D248" s="1899">
        <v>62</v>
      </c>
      <c r="E248" s="1900">
        <v>2996</v>
      </c>
      <c r="F248" s="1901">
        <v>4664559</v>
      </c>
      <c r="G248" s="59"/>
      <c r="H248" s="59"/>
      <c r="I248" s="59"/>
      <c r="J248" s="59"/>
      <c r="K248" s="59"/>
      <c r="L248" s="59"/>
      <c r="M248" s="59"/>
    </row>
    <row r="249" spans="1:13" ht="10.5" customHeight="1">
      <c r="A249" s="2645" t="s">
        <v>132</v>
      </c>
      <c r="B249" s="1900" t="s">
        <v>258</v>
      </c>
      <c r="C249" s="1901" t="s">
        <v>107</v>
      </c>
      <c r="D249" s="1899">
        <v>306</v>
      </c>
      <c r="E249" s="1900">
        <v>10588</v>
      </c>
      <c r="F249" s="1901">
        <v>16525284</v>
      </c>
      <c r="G249" s="59"/>
      <c r="H249" s="59"/>
      <c r="I249" s="59"/>
      <c r="J249" s="59">
        <f>+F59</f>
        <v>2118110</v>
      </c>
      <c r="K249" s="59"/>
      <c r="L249" s="59"/>
      <c r="M249" s="59"/>
    </row>
    <row r="250" spans="1:13" ht="10.5" customHeight="1">
      <c r="A250" s="2645" t="s">
        <v>132</v>
      </c>
      <c r="B250" s="1900" t="s">
        <v>258</v>
      </c>
      <c r="C250" s="1901" t="s">
        <v>263</v>
      </c>
      <c r="D250" s="1899">
        <v>31</v>
      </c>
      <c r="E250" s="1900">
        <v>544</v>
      </c>
      <c r="F250" s="1901">
        <v>849051</v>
      </c>
      <c r="G250" s="59"/>
      <c r="H250" s="59"/>
      <c r="I250" s="59"/>
      <c r="J250" s="59">
        <f>+F59</f>
        <v>2118110</v>
      </c>
      <c r="K250" s="59"/>
      <c r="L250" s="59"/>
      <c r="M250" s="59"/>
    </row>
    <row r="251" spans="1:13" ht="10.5" customHeight="1">
      <c r="A251" s="2645" t="s">
        <v>132</v>
      </c>
      <c r="B251" s="1900" t="s">
        <v>258</v>
      </c>
      <c r="C251" s="1901" t="s">
        <v>179</v>
      </c>
      <c r="D251" s="1899">
        <v>5</v>
      </c>
      <c r="E251" s="1900">
        <v>155</v>
      </c>
      <c r="F251" s="1901">
        <v>241917</v>
      </c>
      <c r="G251" s="59"/>
      <c r="H251" s="59"/>
      <c r="I251" s="59"/>
      <c r="J251" s="59">
        <f>+F122</f>
        <v>2617901</v>
      </c>
      <c r="K251" s="59"/>
      <c r="L251" s="59"/>
      <c r="M251" s="59"/>
    </row>
    <row r="252" spans="1:13" ht="10.5" customHeight="1">
      <c r="A252" s="2645" t="s">
        <v>132</v>
      </c>
      <c r="B252" s="1900" t="s">
        <v>258</v>
      </c>
      <c r="C252" s="1901" t="s">
        <v>118</v>
      </c>
      <c r="D252" s="1899">
        <v>8</v>
      </c>
      <c r="E252" s="1900">
        <v>226</v>
      </c>
      <c r="F252" s="1901">
        <v>352731</v>
      </c>
      <c r="G252" s="59"/>
      <c r="H252" s="59"/>
      <c r="I252" s="59"/>
      <c r="J252" s="59">
        <f>SUM(F186:F192)</f>
        <v>908100</v>
      </c>
      <c r="K252" s="59"/>
      <c r="L252" s="59"/>
      <c r="M252" s="59"/>
    </row>
    <row r="253" spans="1:13" ht="10.5" customHeight="1">
      <c r="A253" s="2645" t="s">
        <v>132</v>
      </c>
      <c r="B253" s="1900" t="s">
        <v>258</v>
      </c>
      <c r="C253" s="1901" t="s">
        <v>147</v>
      </c>
      <c r="D253" s="1899">
        <v>47</v>
      </c>
      <c r="E253" s="1900">
        <v>2301</v>
      </c>
      <c r="F253" s="1901">
        <v>3591300</v>
      </c>
      <c r="G253" s="59"/>
      <c r="H253" s="59"/>
      <c r="I253" s="59"/>
      <c r="J253" s="59">
        <f>SUM(F194:F196)</f>
        <v>156450</v>
      </c>
      <c r="K253" s="59"/>
      <c r="L253" s="59"/>
      <c r="M253" s="59"/>
    </row>
    <row r="254" spans="1:13" ht="10.5" customHeight="1">
      <c r="A254" s="2645" t="s">
        <v>132</v>
      </c>
      <c r="B254" s="1900" t="s">
        <v>258</v>
      </c>
      <c r="C254" s="1901" t="s">
        <v>153</v>
      </c>
      <c r="D254" s="1899">
        <v>30</v>
      </c>
      <c r="E254" s="1900">
        <v>932</v>
      </c>
      <c r="F254" s="1901">
        <v>1454625</v>
      </c>
      <c r="G254" s="59"/>
      <c r="H254" s="59"/>
      <c r="I254" s="59"/>
      <c r="J254" s="59">
        <f>SUM(F201:F208)</f>
        <v>690900</v>
      </c>
      <c r="K254" s="59"/>
      <c r="L254" s="59"/>
      <c r="M254" s="59"/>
    </row>
    <row r="255" spans="1:13" ht="10.5" customHeight="1">
      <c r="A255" s="2645" t="s">
        <v>132</v>
      </c>
      <c r="B255" s="1900" t="s">
        <v>258</v>
      </c>
      <c r="C255" s="1901" t="s">
        <v>129</v>
      </c>
      <c r="D255" s="1899">
        <v>2</v>
      </c>
      <c r="E255" s="1900">
        <v>101</v>
      </c>
      <c r="F255" s="1901">
        <v>157636</v>
      </c>
      <c r="G255" s="59"/>
      <c r="H255" s="59"/>
      <c r="I255" s="59"/>
      <c r="J255" s="59">
        <f>SUM(F211:F212)</f>
        <v>357300</v>
      </c>
      <c r="K255" s="59"/>
      <c r="L255" s="59"/>
      <c r="M255" s="59"/>
    </row>
    <row r="256" spans="1:13" ht="10.5" customHeight="1">
      <c r="A256" s="2645" t="s">
        <v>132</v>
      </c>
      <c r="B256" s="1900" t="s">
        <v>264</v>
      </c>
      <c r="C256" s="1901" t="s">
        <v>117</v>
      </c>
      <c r="D256" s="1899">
        <v>16</v>
      </c>
      <c r="E256" s="1900">
        <v>368</v>
      </c>
      <c r="F256" s="1901">
        <v>513711</v>
      </c>
      <c r="G256" s="59"/>
      <c r="H256" s="59"/>
      <c r="I256" s="59"/>
      <c r="J256" s="59">
        <f>SUM(F267)</f>
        <v>29174</v>
      </c>
      <c r="K256" s="59">
        <f>SUM(J252:J257)</f>
        <v>2287921</v>
      </c>
      <c r="L256" s="59"/>
      <c r="M256" s="59"/>
    </row>
    <row r="257" spans="1:13" ht="10.5" customHeight="1">
      <c r="A257" s="2645" t="s">
        <v>132</v>
      </c>
      <c r="B257" s="1900" t="s">
        <v>264</v>
      </c>
      <c r="C257" s="1901" t="s">
        <v>118</v>
      </c>
      <c r="D257" s="1899">
        <v>13</v>
      </c>
      <c r="E257" s="1900">
        <v>262</v>
      </c>
      <c r="F257" s="1901">
        <v>365740</v>
      </c>
      <c r="G257" s="59"/>
      <c r="H257" s="59"/>
      <c r="I257" s="59"/>
      <c r="J257" s="59">
        <f>SUM(F270:F274)</f>
        <v>145997</v>
      </c>
      <c r="K257" s="59"/>
      <c r="L257" s="59"/>
      <c r="M257" s="59"/>
    </row>
    <row r="258" spans="1:13" ht="10.5" customHeight="1">
      <c r="A258" s="2645" t="s">
        <v>132</v>
      </c>
      <c r="B258" s="1900" t="s">
        <v>265</v>
      </c>
      <c r="C258" s="1901" t="s">
        <v>203</v>
      </c>
      <c r="D258" s="1899">
        <v>20</v>
      </c>
      <c r="E258" s="1900">
        <v>1011</v>
      </c>
      <c r="F258" s="1901">
        <v>2149106</v>
      </c>
      <c r="G258" s="59"/>
      <c r="H258" s="59"/>
      <c r="I258" s="59"/>
      <c r="J258" s="59"/>
      <c r="K258" s="59"/>
      <c r="L258" s="59"/>
      <c r="M258" s="59"/>
    </row>
    <row r="259" spans="1:13" ht="10.5" customHeight="1">
      <c r="A259" s="2645" t="s">
        <v>133</v>
      </c>
      <c r="B259" s="1900" t="s">
        <v>266</v>
      </c>
      <c r="C259" s="1901" t="s">
        <v>139</v>
      </c>
      <c r="D259" s="1899">
        <v>2294</v>
      </c>
      <c r="E259" s="1900">
        <v>134121</v>
      </c>
      <c r="F259" s="1901">
        <v>21260994</v>
      </c>
      <c r="G259" s="59"/>
      <c r="H259" s="59"/>
      <c r="I259" s="59"/>
      <c r="J259" s="59"/>
      <c r="K259" s="59"/>
      <c r="L259" s="59"/>
      <c r="M259" s="59"/>
    </row>
    <row r="260" spans="1:13" ht="10.5" customHeight="1">
      <c r="A260" s="2645" t="s">
        <v>133</v>
      </c>
      <c r="B260" s="1900" t="s">
        <v>266</v>
      </c>
      <c r="C260" s="1901" t="s">
        <v>267</v>
      </c>
      <c r="D260" s="1899">
        <v>5</v>
      </c>
      <c r="E260" s="1900">
        <v>330</v>
      </c>
      <c r="F260" s="1901">
        <v>52312</v>
      </c>
      <c r="G260" s="59"/>
      <c r="H260" s="59"/>
      <c r="I260" s="59"/>
      <c r="J260" s="59"/>
      <c r="K260" s="59"/>
      <c r="L260" s="59"/>
      <c r="M260" s="59"/>
    </row>
    <row r="261" spans="1:13" ht="10.5" customHeight="1">
      <c r="A261" s="2645" t="s">
        <v>133</v>
      </c>
      <c r="B261" s="1900" t="s">
        <v>266</v>
      </c>
      <c r="C261" s="1901" t="s">
        <v>165</v>
      </c>
      <c r="D261" s="1899">
        <v>1</v>
      </c>
      <c r="E261" s="1900">
        <v>25</v>
      </c>
      <c r="F261" s="1901">
        <v>3963</v>
      </c>
      <c r="G261" s="59"/>
      <c r="H261" s="59"/>
      <c r="I261" s="59"/>
      <c r="J261" s="59"/>
      <c r="K261" s="59"/>
      <c r="L261" s="59"/>
      <c r="M261" s="59"/>
    </row>
    <row r="262" spans="1:13" ht="10.5" customHeight="1">
      <c r="A262" s="2645" t="s">
        <v>133</v>
      </c>
      <c r="B262" s="1900" t="s">
        <v>266</v>
      </c>
      <c r="C262" s="1901" t="s">
        <v>166</v>
      </c>
      <c r="D262" s="1899">
        <v>26</v>
      </c>
      <c r="E262" s="1900">
        <v>260</v>
      </c>
      <c r="F262" s="1901">
        <v>41215</v>
      </c>
      <c r="G262" s="59"/>
      <c r="H262" s="59"/>
      <c r="I262" s="59">
        <f>SUM(F261:F262)</f>
        <v>45178</v>
      </c>
      <c r="J262" s="59"/>
      <c r="K262" s="59"/>
      <c r="L262" s="59"/>
      <c r="M262" s="59"/>
    </row>
    <row r="263" spans="1:13" ht="10.5" customHeight="1">
      <c r="A263" s="2645" t="s">
        <v>133</v>
      </c>
      <c r="B263" s="1900" t="s">
        <v>266</v>
      </c>
      <c r="C263" s="1901" t="s">
        <v>153</v>
      </c>
      <c r="D263" s="1899">
        <v>9</v>
      </c>
      <c r="E263" s="1900">
        <v>455</v>
      </c>
      <c r="F263" s="1901">
        <v>72127</v>
      </c>
      <c r="G263" s="59"/>
      <c r="H263" s="59"/>
      <c r="I263" s="59">
        <f>+F267</f>
        <v>29174</v>
      </c>
      <c r="J263" s="59"/>
      <c r="K263" s="59"/>
      <c r="L263" s="59"/>
      <c r="M263" s="59"/>
    </row>
    <row r="264" spans="1:13" ht="10.5" customHeight="1">
      <c r="A264" s="2645" t="s">
        <v>133</v>
      </c>
      <c r="B264" s="1900" t="s">
        <v>266</v>
      </c>
      <c r="C264" s="1901" t="s">
        <v>154</v>
      </c>
      <c r="D264" s="1899">
        <v>9</v>
      </c>
      <c r="E264" s="1900">
        <v>576</v>
      </c>
      <c r="F264" s="1901">
        <v>91308</v>
      </c>
      <c r="G264" s="59"/>
      <c r="H264" s="59"/>
      <c r="I264" s="59">
        <f>SUM(F270:F274)</f>
        <v>145997</v>
      </c>
      <c r="J264" s="59"/>
      <c r="K264" s="59"/>
      <c r="L264" s="59"/>
      <c r="M264" s="59"/>
    </row>
    <row r="265" spans="1:13" ht="10.5" customHeight="1">
      <c r="A265" s="2645" t="s">
        <v>133</v>
      </c>
      <c r="B265" s="1900" t="s">
        <v>266</v>
      </c>
      <c r="C265" s="1901" t="s">
        <v>170</v>
      </c>
      <c r="D265" s="1899">
        <v>607</v>
      </c>
      <c r="E265" s="1900">
        <v>37960</v>
      </c>
      <c r="F265" s="1901">
        <v>6017457</v>
      </c>
      <c r="G265" s="59"/>
      <c r="H265" s="59"/>
      <c r="I265" s="59">
        <f>SUM(F300:F300)</f>
        <v>97846480</v>
      </c>
      <c r="J265" s="59"/>
      <c r="K265" s="59"/>
      <c r="L265" s="59"/>
      <c r="M265" s="59"/>
    </row>
    <row r="266" spans="1:13" ht="10.5" customHeight="1">
      <c r="A266" s="2645" t="s">
        <v>133</v>
      </c>
      <c r="B266" s="1900" t="s">
        <v>266</v>
      </c>
      <c r="C266" s="1901" t="s">
        <v>254</v>
      </c>
      <c r="D266" s="1899">
        <v>20</v>
      </c>
      <c r="E266" s="1900">
        <v>1300</v>
      </c>
      <c r="F266" s="1901">
        <v>206077</v>
      </c>
      <c r="G266" s="59"/>
      <c r="H266" s="59"/>
      <c r="I266" s="59"/>
      <c r="J266" s="59"/>
      <c r="K266" s="59"/>
      <c r="L266" s="59"/>
      <c r="M266" s="59"/>
    </row>
    <row r="267" spans="1:13" ht="10.5" customHeight="1">
      <c r="A267" s="2645" t="s">
        <v>266</v>
      </c>
      <c r="B267" s="1900" t="s">
        <v>164</v>
      </c>
      <c r="C267" s="1901" t="s">
        <v>165</v>
      </c>
      <c r="D267" s="1899">
        <v>2</v>
      </c>
      <c r="E267" s="1900">
        <v>20</v>
      </c>
      <c r="F267" s="1901">
        <v>29174</v>
      </c>
      <c r="G267" s="59"/>
      <c r="H267" s="59"/>
      <c r="I267" s="59"/>
      <c r="J267" s="59"/>
      <c r="K267" s="59"/>
      <c r="L267" s="59"/>
      <c r="M267" s="59"/>
    </row>
    <row r="268" spans="1:13" ht="10.5" customHeight="1">
      <c r="A268" s="2645" t="s">
        <v>266</v>
      </c>
      <c r="B268" s="1900" t="s">
        <v>164</v>
      </c>
      <c r="C268" s="1901" t="s">
        <v>166</v>
      </c>
      <c r="D268" s="1899">
        <v>20</v>
      </c>
      <c r="E268" s="1900">
        <v>188</v>
      </c>
      <c r="F268" s="1901">
        <v>274233</v>
      </c>
      <c r="G268" s="59"/>
      <c r="H268" s="59"/>
      <c r="I268" s="59"/>
      <c r="J268" s="59"/>
      <c r="K268" s="59"/>
      <c r="L268" s="59"/>
      <c r="M268" s="59"/>
    </row>
    <row r="269" spans="1:13" ht="10.5" customHeight="1">
      <c r="A269" s="2645" t="s">
        <v>266</v>
      </c>
      <c r="B269" s="1900" t="s">
        <v>132</v>
      </c>
      <c r="C269" s="1901" t="s">
        <v>237</v>
      </c>
      <c r="D269" s="1899">
        <v>4</v>
      </c>
      <c r="E269" s="1900">
        <v>188</v>
      </c>
      <c r="F269" s="1901">
        <v>352719</v>
      </c>
      <c r="G269" s="59"/>
      <c r="H269" s="59"/>
      <c r="I269" s="59"/>
      <c r="J269" s="59"/>
      <c r="K269" s="59"/>
      <c r="L269" s="59"/>
      <c r="M269" s="59"/>
    </row>
    <row r="270" spans="1:13" ht="10.5" customHeight="1">
      <c r="A270" s="2645" t="s">
        <v>266</v>
      </c>
      <c r="B270" s="1899" t="s">
        <v>133</v>
      </c>
      <c r="C270" s="1901" t="s">
        <v>221</v>
      </c>
      <c r="D270" s="1899">
        <v>7</v>
      </c>
      <c r="E270" s="1900">
        <v>400</v>
      </c>
      <c r="F270" s="1901">
        <v>63408</v>
      </c>
      <c r="G270" s="59"/>
      <c r="H270" s="59"/>
      <c r="I270" s="59"/>
      <c r="J270" s="59"/>
      <c r="K270" s="59"/>
      <c r="L270" s="59"/>
      <c r="M270" s="59"/>
    </row>
    <row r="271" spans="1:13" ht="10.5" customHeight="1">
      <c r="A271" s="2645" t="s">
        <v>266</v>
      </c>
      <c r="B271" s="1899" t="s">
        <v>133</v>
      </c>
      <c r="C271" s="1901" t="s">
        <v>118</v>
      </c>
      <c r="D271" s="1899">
        <v>1</v>
      </c>
      <c r="E271" s="1900">
        <v>58</v>
      </c>
      <c r="F271" s="1901">
        <v>9194</v>
      </c>
      <c r="G271" s="59"/>
      <c r="H271" s="59"/>
      <c r="I271" s="59"/>
      <c r="J271" s="59"/>
      <c r="K271" s="59"/>
      <c r="L271" s="59"/>
      <c r="M271" s="59"/>
    </row>
    <row r="272" spans="1:13" ht="10.5" customHeight="1">
      <c r="A272" s="2645" t="s">
        <v>266</v>
      </c>
      <c r="B272" s="1899" t="s">
        <v>133</v>
      </c>
      <c r="C272" s="1901" t="s">
        <v>235</v>
      </c>
      <c r="D272" s="1899">
        <v>4</v>
      </c>
      <c r="E272" s="1900">
        <v>263</v>
      </c>
      <c r="F272" s="1901">
        <v>41691</v>
      </c>
      <c r="G272" s="59"/>
      <c r="H272" s="59"/>
      <c r="I272" s="59"/>
      <c r="J272" s="59"/>
      <c r="K272" s="59"/>
      <c r="L272" s="59"/>
      <c r="M272" s="59"/>
    </row>
    <row r="273" spans="1:13" ht="10.5" customHeight="1">
      <c r="A273" s="2645" t="s">
        <v>266</v>
      </c>
      <c r="B273" s="1899" t="s">
        <v>133</v>
      </c>
      <c r="C273" s="1901" t="s">
        <v>238</v>
      </c>
      <c r="D273" s="1899">
        <v>2</v>
      </c>
      <c r="E273" s="1900">
        <v>134</v>
      </c>
      <c r="F273" s="1901">
        <v>21242</v>
      </c>
      <c r="G273" s="59"/>
      <c r="H273" s="59"/>
      <c r="I273" s="59"/>
      <c r="J273" s="59"/>
      <c r="K273" s="59"/>
      <c r="L273" s="59"/>
      <c r="M273" s="59"/>
    </row>
    <row r="274" spans="1:13" ht="10.5" customHeight="1">
      <c r="A274" s="2645" t="s">
        <v>266</v>
      </c>
      <c r="B274" s="1899" t="s">
        <v>133</v>
      </c>
      <c r="C274" s="1901" t="s">
        <v>125</v>
      </c>
      <c r="D274" s="1899">
        <v>1</v>
      </c>
      <c r="E274" s="1900">
        <v>66</v>
      </c>
      <c r="F274" s="1901">
        <v>10462</v>
      </c>
      <c r="G274" s="59"/>
      <c r="H274" s="59"/>
      <c r="I274" s="59"/>
      <c r="J274" s="59"/>
      <c r="K274" s="59"/>
      <c r="L274" s="59"/>
      <c r="M274" s="59"/>
    </row>
    <row r="275" spans="1:13" ht="10.5" customHeight="1">
      <c r="A275" s="2645" t="s">
        <v>264</v>
      </c>
      <c r="B275" s="1900" t="s">
        <v>164</v>
      </c>
      <c r="C275" s="1901" t="s">
        <v>262</v>
      </c>
      <c r="D275" s="1899">
        <v>1</v>
      </c>
      <c r="E275" s="1900">
        <v>5</v>
      </c>
      <c r="F275" s="1901">
        <v>8815</v>
      </c>
      <c r="G275" s="59"/>
      <c r="H275" s="59"/>
      <c r="I275" s="59"/>
      <c r="J275" s="59"/>
      <c r="K275" s="59"/>
      <c r="L275" s="59"/>
      <c r="M275" s="59"/>
    </row>
    <row r="276" spans="1:13" ht="10.5" customHeight="1">
      <c r="A276" s="2645" t="s">
        <v>164</v>
      </c>
      <c r="B276" s="1900" t="s">
        <v>258</v>
      </c>
      <c r="C276" s="1901" t="s">
        <v>165</v>
      </c>
      <c r="D276" s="1899">
        <v>19</v>
      </c>
      <c r="E276" s="1900">
        <v>1013</v>
      </c>
      <c r="F276" s="1901">
        <v>1952883</v>
      </c>
      <c r="G276" s="59"/>
      <c r="H276" s="59"/>
      <c r="I276" s="59"/>
      <c r="J276" s="59"/>
      <c r="K276" s="59"/>
      <c r="L276" s="59"/>
      <c r="M276" s="59"/>
    </row>
    <row r="277" spans="1:13" ht="10.5" customHeight="1">
      <c r="A277" s="2645" t="s">
        <v>164</v>
      </c>
      <c r="B277" s="1900" t="s">
        <v>257</v>
      </c>
      <c r="C277" s="1901" t="s">
        <v>165</v>
      </c>
      <c r="D277" s="1899">
        <v>106</v>
      </c>
      <c r="E277" s="1900">
        <v>4718</v>
      </c>
      <c r="F277" s="1901">
        <v>8977510</v>
      </c>
      <c r="G277" s="59"/>
      <c r="H277" s="59"/>
      <c r="I277" s="59"/>
      <c r="J277" s="59"/>
      <c r="K277" s="59"/>
      <c r="L277" s="59"/>
      <c r="M277" s="59"/>
    </row>
    <row r="278" spans="1:13" ht="10.5" customHeight="1">
      <c r="A278" s="2645" t="s">
        <v>164</v>
      </c>
      <c r="B278" s="1900" t="s">
        <v>264</v>
      </c>
      <c r="C278" s="1901" t="s">
        <v>203</v>
      </c>
      <c r="D278" s="1899">
        <v>35</v>
      </c>
      <c r="E278" s="1900">
        <v>1931</v>
      </c>
      <c r="F278" s="1901">
        <v>3404390</v>
      </c>
      <c r="G278" s="59"/>
      <c r="H278" s="59"/>
      <c r="I278" s="59"/>
      <c r="J278" s="59"/>
      <c r="K278" s="59"/>
      <c r="L278" s="59"/>
      <c r="M278" s="59"/>
    </row>
    <row r="279" spans="1:13" ht="10.5" customHeight="1">
      <c r="A279" s="2645" t="s">
        <v>164</v>
      </c>
      <c r="B279" s="1900" t="s">
        <v>264</v>
      </c>
      <c r="C279" s="1901" t="s">
        <v>165</v>
      </c>
      <c r="D279" s="1899">
        <v>2</v>
      </c>
      <c r="E279" s="1900">
        <v>71</v>
      </c>
      <c r="F279" s="1901">
        <v>125174</v>
      </c>
      <c r="G279" s="59"/>
      <c r="H279" s="59"/>
      <c r="I279" s="59"/>
      <c r="J279" s="59"/>
      <c r="K279" s="59"/>
      <c r="L279" s="59"/>
      <c r="M279" s="59"/>
    </row>
    <row r="280" spans="1:13" ht="10.5" customHeight="1">
      <c r="A280" s="2645" t="s">
        <v>164</v>
      </c>
      <c r="B280" s="1900" t="s">
        <v>132</v>
      </c>
      <c r="C280" s="1901" t="s">
        <v>189</v>
      </c>
      <c r="D280" s="1899">
        <v>6</v>
      </c>
      <c r="E280" s="1900">
        <v>305</v>
      </c>
      <c r="F280" s="1901">
        <v>703487</v>
      </c>
      <c r="G280" s="59"/>
      <c r="H280" s="59"/>
      <c r="I280" s="59"/>
      <c r="J280" s="59"/>
      <c r="K280" s="59"/>
      <c r="L280" s="59"/>
      <c r="M280" s="59"/>
    </row>
    <row r="281" spans="1:13" ht="10.5" customHeight="1">
      <c r="A281" s="2645" t="s">
        <v>164</v>
      </c>
      <c r="B281" s="1900" t="s">
        <v>266</v>
      </c>
      <c r="C281" s="1901" t="s">
        <v>165</v>
      </c>
      <c r="D281" s="1899">
        <v>39</v>
      </c>
      <c r="E281" s="1900">
        <v>1772</v>
      </c>
      <c r="F281" s="1901">
        <v>2584788</v>
      </c>
      <c r="G281" s="59"/>
      <c r="H281" s="59"/>
      <c r="I281" s="59"/>
      <c r="J281" s="59"/>
      <c r="K281" s="59"/>
      <c r="L281" s="59"/>
      <c r="M281" s="59"/>
    </row>
    <row r="282" spans="1:13" ht="10.5" customHeight="1">
      <c r="A282" s="2645" t="s">
        <v>196</v>
      </c>
      <c r="B282" s="1899" t="s">
        <v>133</v>
      </c>
      <c r="C282" s="1901" t="s">
        <v>268</v>
      </c>
      <c r="D282" s="1899">
        <v>4</v>
      </c>
      <c r="E282" s="1900">
        <v>220</v>
      </c>
      <c r="F282" s="1901">
        <v>426350</v>
      </c>
      <c r="G282" s="59"/>
      <c r="H282" s="59"/>
      <c r="I282" s="59"/>
      <c r="J282" s="59"/>
      <c r="K282" s="59"/>
      <c r="L282" s="59"/>
      <c r="M282" s="59"/>
    </row>
    <row r="283" spans="1:13" ht="10.5" customHeight="1">
      <c r="A283" s="2645" t="s">
        <v>196</v>
      </c>
      <c r="B283" s="1899" t="s">
        <v>133</v>
      </c>
      <c r="C283" s="1901" t="s">
        <v>255</v>
      </c>
      <c r="D283" s="1899">
        <v>4</v>
      </c>
      <c r="E283" s="1900">
        <v>220</v>
      </c>
      <c r="F283" s="1901">
        <v>426350</v>
      </c>
      <c r="G283" s="59"/>
      <c r="H283" s="59"/>
      <c r="I283" s="59"/>
      <c r="J283" s="59">
        <f>+F82</f>
        <v>11584040</v>
      </c>
      <c r="K283" s="59"/>
      <c r="L283" s="59"/>
      <c r="M283" s="59"/>
    </row>
    <row r="284" spans="1:13" ht="10.5" customHeight="1">
      <c r="A284" s="2645" t="s">
        <v>196</v>
      </c>
      <c r="B284" s="1899" t="s">
        <v>133</v>
      </c>
      <c r="C284" s="1901" t="s">
        <v>269</v>
      </c>
      <c r="D284" s="1899">
        <v>8</v>
      </c>
      <c r="E284" s="1900">
        <v>456</v>
      </c>
      <c r="F284" s="1901">
        <v>883707</v>
      </c>
      <c r="G284" s="59"/>
      <c r="H284" s="59"/>
      <c r="I284" s="59"/>
      <c r="J284" s="59">
        <f>+F39</f>
        <v>201434</v>
      </c>
      <c r="K284" s="59"/>
      <c r="L284" s="59"/>
      <c r="M284" s="59"/>
    </row>
    <row r="285" spans="1:13" ht="10.5" customHeight="1">
      <c r="A285" s="2645" t="s">
        <v>270</v>
      </c>
      <c r="B285" s="1900" t="s">
        <v>271</v>
      </c>
      <c r="C285" s="1901" t="s">
        <v>168</v>
      </c>
      <c r="D285" s="1899">
        <v>81</v>
      </c>
      <c r="E285" s="1900">
        <v>1863</v>
      </c>
      <c r="F285" s="1901">
        <v>279450</v>
      </c>
      <c r="G285" s="59"/>
      <c r="H285" s="59"/>
      <c r="I285" s="59"/>
      <c r="J285" s="59"/>
      <c r="K285" s="59"/>
      <c r="L285" s="59"/>
      <c r="M285" s="59"/>
    </row>
    <row r="286" spans="1:13" ht="10.5" customHeight="1">
      <c r="A286" s="2645" t="s">
        <v>133</v>
      </c>
      <c r="B286" s="1900" t="s">
        <v>272</v>
      </c>
      <c r="C286" s="1901" t="s">
        <v>139</v>
      </c>
      <c r="D286" s="1899">
        <v>104</v>
      </c>
      <c r="E286" s="1900">
        <v>6139</v>
      </c>
      <c r="F286" s="1901">
        <v>920850</v>
      </c>
      <c r="G286" s="59"/>
      <c r="H286" s="59"/>
      <c r="I286" s="59"/>
      <c r="J286" s="59"/>
      <c r="K286" s="59"/>
      <c r="L286" s="59"/>
      <c r="M286" s="59"/>
    </row>
    <row r="287" spans="1:13" ht="10.5" customHeight="1">
      <c r="A287" s="2645" t="s">
        <v>133</v>
      </c>
      <c r="B287" s="1900" t="s">
        <v>272</v>
      </c>
      <c r="C287" s="1901" t="s">
        <v>170</v>
      </c>
      <c r="D287" s="1899">
        <v>8</v>
      </c>
      <c r="E287" s="1900">
        <v>456</v>
      </c>
      <c r="F287" s="1901">
        <v>68400</v>
      </c>
      <c r="G287" s="59"/>
      <c r="H287" s="59"/>
      <c r="I287" s="59"/>
      <c r="J287" s="59"/>
      <c r="K287" s="59"/>
      <c r="L287" s="59"/>
      <c r="M287" s="59"/>
    </row>
    <row r="288" spans="1:13" ht="10.5" customHeight="1">
      <c r="A288" s="2645" t="s">
        <v>133</v>
      </c>
      <c r="B288" s="1900" t="s">
        <v>273</v>
      </c>
      <c r="C288" s="1901" t="s">
        <v>274</v>
      </c>
      <c r="D288" s="1899">
        <v>7</v>
      </c>
      <c r="E288" s="1900">
        <v>28</v>
      </c>
      <c r="F288" s="1901">
        <v>35738</v>
      </c>
      <c r="G288" s="59"/>
      <c r="H288" s="59"/>
      <c r="I288" s="59"/>
      <c r="J288" s="59"/>
      <c r="K288" s="59"/>
      <c r="L288" s="59"/>
      <c r="M288" s="59"/>
    </row>
    <row r="289" spans="1:13" ht="10.5" customHeight="1">
      <c r="A289" s="2645" t="s">
        <v>133</v>
      </c>
      <c r="B289" s="1900" t="s">
        <v>270</v>
      </c>
      <c r="C289" s="1901" t="s">
        <v>168</v>
      </c>
      <c r="D289" s="1899">
        <v>5</v>
      </c>
      <c r="E289" s="1900">
        <v>337</v>
      </c>
      <c r="F289" s="1901">
        <v>600276</v>
      </c>
      <c r="G289" s="59"/>
      <c r="H289" s="59"/>
      <c r="I289" s="59"/>
      <c r="J289" s="59"/>
      <c r="K289" s="59"/>
      <c r="L289" s="59"/>
      <c r="M289" s="59"/>
    </row>
    <row r="290" spans="1:13" ht="10.5" customHeight="1">
      <c r="A290" s="2645" t="s">
        <v>133</v>
      </c>
      <c r="B290" s="1900" t="s">
        <v>266</v>
      </c>
      <c r="C290" s="1901" t="s">
        <v>170</v>
      </c>
      <c r="D290" s="1899">
        <v>6</v>
      </c>
      <c r="E290" s="1900">
        <v>355</v>
      </c>
      <c r="F290" s="1901">
        <v>54065</v>
      </c>
      <c r="G290" s="59"/>
      <c r="H290" s="59"/>
      <c r="I290" s="59"/>
      <c r="J290" s="59"/>
      <c r="K290" s="59"/>
      <c r="L290" s="59"/>
      <c r="M290" s="59"/>
    </row>
    <row r="291" spans="1:13" ht="10.5" customHeight="1">
      <c r="A291" s="2645" t="s">
        <v>133</v>
      </c>
      <c r="B291" s="1900" t="s">
        <v>79</v>
      </c>
      <c r="C291" s="1901" t="s">
        <v>118</v>
      </c>
      <c r="D291" s="1899">
        <v>4</v>
      </c>
      <c r="E291" s="1900">
        <v>253</v>
      </c>
      <c r="F291" s="1901">
        <v>332044</v>
      </c>
      <c r="G291" s="59"/>
      <c r="H291" s="59"/>
      <c r="I291" s="59"/>
      <c r="J291" s="59"/>
      <c r="K291" s="59"/>
      <c r="L291" s="59"/>
      <c r="M291" s="59"/>
    </row>
    <row r="292" spans="1:13" ht="10.5" customHeight="1">
      <c r="A292" s="2645" t="s">
        <v>133</v>
      </c>
      <c r="B292" s="1900" t="s">
        <v>275</v>
      </c>
      <c r="C292" s="1901" t="s">
        <v>167</v>
      </c>
      <c r="D292" s="1899">
        <v>6</v>
      </c>
      <c r="E292" s="1900">
        <v>389</v>
      </c>
      <c r="F292" s="1901">
        <v>457145</v>
      </c>
      <c r="G292" s="59"/>
      <c r="H292" s="59"/>
      <c r="I292" s="59"/>
      <c r="J292" s="59"/>
      <c r="K292" s="59"/>
      <c r="L292" s="59"/>
      <c r="M292" s="59"/>
    </row>
    <row r="293" spans="1:13" ht="10.5" customHeight="1">
      <c r="A293" s="2645" t="s">
        <v>133</v>
      </c>
      <c r="B293" s="1900" t="s">
        <v>275</v>
      </c>
      <c r="C293" s="1901" t="s">
        <v>154</v>
      </c>
      <c r="D293" s="1899">
        <v>45</v>
      </c>
      <c r="E293" s="1900">
        <v>2880</v>
      </c>
      <c r="F293" s="1901">
        <v>3384519</v>
      </c>
      <c r="G293" s="59"/>
      <c r="H293" s="59"/>
      <c r="I293" s="59"/>
      <c r="J293" s="59"/>
      <c r="K293" s="59"/>
      <c r="L293" s="59"/>
      <c r="M293" s="59"/>
    </row>
    <row r="294" spans="1:13" ht="10.5" customHeight="1">
      <c r="A294" s="2645" t="s">
        <v>133</v>
      </c>
      <c r="B294" s="1900" t="s">
        <v>270</v>
      </c>
      <c r="C294" s="1901" t="s">
        <v>168</v>
      </c>
      <c r="D294" s="1899">
        <v>48</v>
      </c>
      <c r="E294" s="1900">
        <v>3213</v>
      </c>
      <c r="F294" s="1901">
        <v>5743106</v>
      </c>
      <c r="G294" s="59"/>
      <c r="H294" s="59"/>
      <c r="I294" s="59"/>
      <c r="J294" s="59"/>
      <c r="K294" s="59"/>
      <c r="L294" s="59"/>
      <c r="M294" s="59"/>
    </row>
    <row r="295" spans="1:13" ht="10.5" customHeight="1">
      <c r="A295" s="2645" t="s">
        <v>133</v>
      </c>
      <c r="B295" s="1900" t="s">
        <v>276</v>
      </c>
      <c r="C295" s="1901" t="s">
        <v>153</v>
      </c>
      <c r="D295" s="1899">
        <v>54</v>
      </c>
      <c r="E295" s="1900">
        <v>3373</v>
      </c>
      <c r="F295" s="1901">
        <v>557523</v>
      </c>
      <c r="G295" s="59"/>
      <c r="H295" s="59"/>
      <c r="I295" s="59"/>
      <c r="J295" s="59"/>
      <c r="K295" s="59"/>
      <c r="L295" s="59"/>
      <c r="M295" s="59"/>
    </row>
    <row r="296" spans="1:13" ht="10.5" customHeight="1">
      <c r="A296" s="2645" t="s">
        <v>133</v>
      </c>
      <c r="B296" s="1900" t="s">
        <v>277</v>
      </c>
      <c r="C296" s="1901" t="s">
        <v>165</v>
      </c>
      <c r="D296" s="1899">
        <v>4</v>
      </c>
      <c r="E296" s="1900">
        <v>126</v>
      </c>
      <c r="F296" s="1901">
        <v>134031</v>
      </c>
      <c r="G296" s="59"/>
      <c r="H296" s="59"/>
      <c r="I296" s="59"/>
      <c r="J296" s="59"/>
      <c r="K296" s="59"/>
      <c r="L296" s="59"/>
      <c r="M296" s="59"/>
    </row>
    <row r="297" spans="1:13" ht="10.5" customHeight="1">
      <c r="A297" s="2645" t="s">
        <v>202</v>
      </c>
      <c r="B297" s="1900" t="s">
        <v>265</v>
      </c>
      <c r="C297" s="1901" t="s">
        <v>203</v>
      </c>
      <c r="D297" s="1899">
        <v>25</v>
      </c>
      <c r="E297" s="1900">
        <v>1187</v>
      </c>
      <c r="F297" s="1901">
        <v>2257230</v>
      </c>
      <c r="G297" s="59"/>
      <c r="H297" s="59"/>
      <c r="I297" s="59"/>
      <c r="J297" s="59"/>
      <c r="K297" s="59"/>
      <c r="L297" s="59"/>
      <c r="M297" s="59"/>
    </row>
    <row r="298" spans="1:13" ht="10.5" customHeight="1">
      <c r="A298" s="2645" t="s">
        <v>278</v>
      </c>
      <c r="B298" s="1900" t="s">
        <v>132</v>
      </c>
      <c r="C298" s="1901" t="s">
        <v>279</v>
      </c>
      <c r="D298" s="1899">
        <v>3</v>
      </c>
      <c r="E298" s="1900">
        <v>69</v>
      </c>
      <c r="F298" s="1901">
        <v>177065</v>
      </c>
      <c r="G298" s="59"/>
      <c r="H298" s="59"/>
      <c r="I298" s="59"/>
      <c r="J298" s="59"/>
      <c r="K298" s="59"/>
      <c r="L298" s="59"/>
      <c r="M298" s="59"/>
    </row>
    <row r="299" spans="1:13" ht="10.5" customHeight="1" thickBot="1">
      <c r="A299" s="2645" t="s">
        <v>278</v>
      </c>
      <c r="B299" s="1900" t="s">
        <v>270</v>
      </c>
      <c r="C299" s="1901" t="s">
        <v>279</v>
      </c>
      <c r="D299" s="1899">
        <v>3</v>
      </c>
      <c r="E299" s="1900">
        <v>69</v>
      </c>
      <c r="F299" s="1901">
        <v>10350</v>
      </c>
      <c r="G299" s="59"/>
      <c r="H299" s="59"/>
      <c r="I299" s="59"/>
      <c r="J299" s="59"/>
      <c r="K299" s="59"/>
      <c r="L299" s="59"/>
      <c r="M299" s="59"/>
    </row>
    <row r="300" spans="1:13" ht="10.5" customHeight="1" thickBot="1">
      <c r="A300" s="2888" t="s">
        <v>280</v>
      </c>
      <c r="B300" s="2889"/>
      <c r="C300" s="2890"/>
      <c r="D300" s="1905">
        <f>SUM(D224:D299)</f>
        <v>4295</v>
      </c>
      <c r="E300" s="1906">
        <f>SUM(E224:E299)</f>
        <v>231587</v>
      </c>
      <c r="F300" s="1907">
        <f>SUM(F224:F299)</f>
        <v>97846480</v>
      </c>
      <c r="G300" s="59"/>
      <c r="H300" s="59"/>
      <c r="I300" s="59"/>
      <c r="J300" s="59"/>
      <c r="K300" s="59"/>
      <c r="L300" s="59"/>
      <c r="M300" s="59"/>
    </row>
    <row r="301" spans="1:13" ht="14.25" customHeight="1" thickBot="1">
      <c r="A301" s="2888" t="s">
        <v>281</v>
      </c>
      <c r="B301" s="2889"/>
      <c r="C301" s="2890"/>
      <c r="D301" s="1905">
        <f>D300+D223+D148+D144+D141+D121+D113+D77+D62+D27</f>
        <v>29237</v>
      </c>
      <c r="E301" s="1906">
        <f t="shared" ref="E301:F301" si="0">E300+E223+E148+E144+E141+E121+E113+E77+E62+E27</f>
        <v>1570434</v>
      </c>
      <c r="F301" s="1907">
        <f t="shared" si="0"/>
        <v>1525349381</v>
      </c>
      <c r="G301" s="59"/>
      <c r="H301" s="59"/>
      <c r="I301" s="59"/>
      <c r="J301" s="59"/>
      <c r="K301" s="59"/>
      <c r="L301" s="59"/>
      <c r="M301" s="59"/>
    </row>
    <row r="302" spans="1:13" ht="15" customHeight="1">
      <c r="A302" s="2887" t="s">
        <v>282</v>
      </c>
      <c r="B302" s="2887"/>
      <c r="C302" s="67"/>
      <c r="D302" s="67"/>
      <c r="E302" s="67"/>
      <c r="F302" s="67"/>
      <c r="G302" s="59"/>
      <c r="H302" s="59"/>
      <c r="I302" s="59"/>
      <c r="J302" s="59"/>
      <c r="K302" s="59"/>
      <c r="L302" s="59"/>
      <c r="M302" s="59"/>
    </row>
    <row r="303" spans="1:13" ht="15" customHeight="1">
      <c r="A303" s="68"/>
      <c r="B303" s="68"/>
      <c r="C303" s="69"/>
      <c r="D303" s="69"/>
      <c r="E303" s="69"/>
      <c r="F303" s="69"/>
    </row>
    <row r="304" spans="1:13" ht="15" customHeight="1">
      <c r="A304" s="68"/>
      <c r="B304" s="68"/>
      <c r="C304" s="69"/>
      <c r="D304" s="69"/>
      <c r="E304" s="69"/>
      <c r="F304" s="69"/>
    </row>
    <row r="305" spans="1:7" ht="15" customHeight="1">
      <c r="A305" s="60"/>
      <c r="B305" s="60"/>
      <c r="C305" s="60"/>
      <c r="D305" s="60"/>
      <c r="E305" s="60"/>
      <c r="F305" s="60"/>
    </row>
    <row r="306" spans="1:7" ht="15" customHeight="1">
      <c r="A306" s="60"/>
      <c r="B306" s="60"/>
      <c r="C306" s="60"/>
      <c r="D306" s="60"/>
      <c r="E306" s="60"/>
      <c r="F306" s="60"/>
    </row>
    <row r="307" spans="1:7" ht="20.25" customHeight="1">
      <c r="A307" s="60"/>
      <c r="B307" s="60"/>
      <c r="C307" s="60"/>
      <c r="D307" s="60"/>
      <c r="E307" s="60"/>
      <c r="F307" s="60"/>
      <c r="G307" s="70"/>
    </row>
    <row r="308" spans="1:7" ht="23.25" customHeight="1">
      <c r="A308" s="60"/>
      <c r="B308" s="60"/>
      <c r="C308" s="60"/>
      <c r="D308" s="60"/>
      <c r="E308" s="60"/>
      <c r="F308" s="60"/>
    </row>
    <row r="309" spans="1:7" ht="16.5" customHeight="1">
      <c r="A309" s="60"/>
      <c r="B309" s="60"/>
      <c r="C309" s="60"/>
      <c r="D309" s="60"/>
      <c r="E309" s="60"/>
      <c r="F309" s="60"/>
    </row>
    <row r="310" spans="1:7" ht="16.5" customHeight="1">
      <c r="A310" s="60"/>
      <c r="B310" s="60"/>
      <c r="C310" s="60"/>
      <c r="D310" s="60"/>
      <c r="E310" s="60"/>
      <c r="F310" s="60"/>
    </row>
    <row r="311" spans="1:7" ht="16.5" customHeight="1">
      <c r="A311" s="60"/>
      <c r="B311" s="60"/>
      <c r="C311" s="60"/>
      <c r="D311" s="60"/>
      <c r="E311" s="60"/>
      <c r="F311" s="60"/>
    </row>
    <row r="312" spans="1:7" ht="15.75" customHeight="1">
      <c r="A312" s="60"/>
      <c r="B312" s="60"/>
      <c r="C312" s="60"/>
      <c r="D312" s="60"/>
      <c r="E312" s="60"/>
      <c r="F312" s="60"/>
    </row>
    <row r="313" spans="1:7" ht="15" customHeight="1">
      <c r="A313" s="68"/>
      <c r="B313" s="68"/>
      <c r="C313" s="69"/>
      <c r="D313" s="69"/>
      <c r="E313" s="69"/>
      <c r="F313" s="69"/>
    </row>
    <row r="314" spans="1:7" ht="18.75" customHeight="1">
      <c r="A314" s="68"/>
      <c r="B314" s="68"/>
      <c r="C314" s="69"/>
      <c r="D314" s="69"/>
      <c r="E314" s="69"/>
      <c r="F314" s="69"/>
    </row>
    <row r="315" spans="1:7" ht="18.75" customHeight="1">
      <c r="A315" s="68"/>
      <c r="B315" s="68"/>
      <c r="C315" s="69"/>
      <c r="D315" s="69"/>
      <c r="E315" s="69"/>
      <c r="F315" s="69"/>
    </row>
    <row r="316" spans="1:7" ht="18.75" customHeight="1">
      <c r="A316" s="68"/>
      <c r="B316" s="68"/>
      <c r="C316" s="69"/>
      <c r="D316" s="69"/>
      <c r="E316" s="69"/>
      <c r="F316" s="69"/>
    </row>
    <row r="317" spans="1:7" ht="18.75" customHeight="1">
      <c r="A317" s="68"/>
      <c r="B317" s="68"/>
      <c r="C317" s="69"/>
      <c r="D317" s="69"/>
      <c r="E317" s="69"/>
      <c r="F317" s="69"/>
    </row>
    <row r="318" spans="1:7" ht="18.75" customHeight="1">
      <c r="A318" s="68"/>
      <c r="B318" s="68"/>
      <c r="C318" s="69"/>
      <c r="D318" s="69"/>
      <c r="E318" s="69"/>
      <c r="F318" s="69"/>
    </row>
    <row r="319" spans="1:7" ht="18.75" customHeight="1">
      <c r="A319" s="68"/>
      <c r="B319" s="68"/>
      <c r="C319" s="69"/>
      <c r="D319" s="69"/>
      <c r="E319" s="69"/>
      <c r="F319" s="69"/>
    </row>
    <row r="320" spans="1:7" ht="18.75" customHeight="1">
      <c r="A320" s="68"/>
      <c r="B320" s="68"/>
      <c r="C320" s="69"/>
      <c r="D320" s="69"/>
      <c r="E320" s="69"/>
      <c r="F320" s="69"/>
    </row>
    <row r="321" spans="1:6" ht="18.75" customHeight="1">
      <c r="A321" s="68"/>
      <c r="B321" s="68"/>
      <c r="C321" s="69"/>
      <c r="D321" s="69"/>
      <c r="E321" s="69"/>
      <c r="F321" s="69"/>
    </row>
    <row r="322" spans="1:6" ht="18.75" customHeight="1">
      <c r="A322" s="68"/>
      <c r="B322" s="68"/>
      <c r="C322" s="69"/>
      <c r="D322" s="69"/>
      <c r="E322" s="69"/>
      <c r="F322" s="69"/>
    </row>
    <row r="323" spans="1:6" ht="18.75" customHeight="1">
      <c r="A323" s="68"/>
      <c r="B323" s="68"/>
      <c r="C323" s="69"/>
      <c r="D323" s="69"/>
      <c r="E323" s="69"/>
      <c r="F323" s="69"/>
    </row>
    <row r="324" spans="1:6" ht="18.75" customHeight="1">
      <c r="A324" s="68"/>
      <c r="B324" s="68"/>
      <c r="C324" s="69"/>
      <c r="D324" s="69"/>
      <c r="E324" s="69"/>
      <c r="F324" s="69"/>
    </row>
    <row r="325" spans="1:6" ht="18.75" customHeight="1">
      <c r="A325" s="68"/>
      <c r="B325" s="68"/>
      <c r="C325" s="69"/>
      <c r="D325" s="69"/>
      <c r="E325" s="69"/>
      <c r="F325" s="69"/>
    </row>
    <row r="326" spans="1:6" ht="18.75" customHeight="1">
      <c r="A326" s="68"/>
      <c r="B326" s="68"/>
      <c r="C326" s="69"/>
      <c r="D326" s="69"/>
      <c r="E326" s="69"/>
      <c r="F326" s="69"/>
    </row>
    <row r="327" spans="1:6" ht="18.75" customHeight="1">
      <c r="A327" s="68"/>
      <c r="B327" s="68"/>
      <c r="C327" s="69"/>
      <c r="D327" s="69"/>
      <c r="E327" s="69"/>
      <c r="F327" s="69"/>
    </row>
    <row r="328" spans="1:6" ht="18.75" customHeight="1">
      <c r="A328" s="68"/>
      <c r="B328" s="68"/>
      <c r="C328" s="69"/>
      <c r="D328" s="69"/>
      <c r="E328" s="69"/>
      <c r="F328" s="69"/>
    </row>
    <row r="329" spans="1:6" ht="18.75" customHeight="1">
      <c r="A329" s="68"/>
      <c r="B329" s="68"/>
      <c r="C329" s="69"/>
      <c r="D329" s="69"/>
      <c r="E329" s="69"/>
      <c r="F329" s="69"/>
    </row>
    <row r="330" spans="1:6" ht="18.75" customHeight="1">
      <c r="A330" s="68"/>
      <c r="B330" s="68"/>
      <c r="C330" s="69"/>
      <c r="D330" s="69"/>
      <c r="E330" s="69"/>
      <c r="F330" s="69"/>
    </row>
    <row r="331" spans="1:6" ht="18.75" customHeight="1">
      <c r="A331" s="68"/>
      <c r="B331" s="68"/>
      <c r="C331" s="68"/>
      <c r="D331" s="69"/>
      <c r="E331" s="69"/>
      <c r="F331" s="69"/>
    </row>
    <row r="332" spans="1:6" ht="18.75" customHeight="1">
      <c r="A332" s="68"/>
      <c r="B332" s="68"/>
      <c r="C332" s="68"/>
      <c r="D332" s="69"/>
      <c r="E332" s="69"/>
      <c r="F332" s="69"/>
    </row>
    <row r="333" spans="1:6" ht="18.75" customHeight="1">
      <c r="A333" s="69"/>
      <c r="B333" s="69"/>
      <c r="C333" s="69"/>
      <c r="D333" s="69"/>
      <c r="E333" s="59"/>
      <c r="F333" s="59"/>
    </row>
    <row r="334" spans="1:6" ht="18.75" customHeight="1">
      <c r="A334" s="68"/>
      <c r="B334" s="68"/>
      <c r="C334" s="69"/>
      <c r="D334" s="69"/>
      <c r="E334" s="69"/>
      <c r="F334" s="69"/>
    </row>
    <row r="335" spans="1:6" ht="18.75" customHeight="1">
      <c r="A335" s="68"/>
      <c r="B335" s="68"/>
      <c r="C335" s="69"/>
      <c r="D335" s="69"/>
      <c r="E335" s="69"/>
      <c r="F335" s="69"/>
    </row>
    <row r="336" spans="1:6" ht="18.75" customHeight="1">
      <c r="C336" s="72"/>
      <c r="D336" s="72"/>
      <c r="E336" s="72"/>
      <c r="F336" s="72"/>
    </row>
    <row r="337" spans="3:6" ht="18.75" customHeight="1">
      <c r="C337" s="72"/>
      <c r="D337" s="72"/>
      <c r="E337" s="72"/>
      <c r="F337" s="72"/>
    </row>
    <row r="338" spans="3:6" ht="18.75" customHeight="1">
      <c r="C338" s="72"/>
      <c r="D338" s="72"/>
      <c r="E338" s="72"/>
      <c r="F338" s="72"/>
    </row>
    <row r="339" spans="3:6" ht="18.75" customHeight="1">
      <c r="C339" s="72"/>
      <c r="D339" s="72"/>
      <c r="E339" s="72"/>
      <c r="F339" s="72"/>
    </row>
    <row r="340" spans="3:6" ht="18.75" customHeight="1">
      <c r="C340" s="72"/>
      <c r="D340" s="72"/>
      <c r="E340" s="72"/>
      <c r="F340" s="72"/>
    </row>
    <row r="341" spans="3:6" ht="18.75" customHeight="1">
      <c r="C341" s="72"/>
      <c r="D341" s="72"/>
      <c r="E341" s="72"/>
      <c r="F341" s="72"/>
    </row>
    <row r="342" spans="3:6" ht="18.75" customHeight="1">
      <c r="C342" s="72"/>
      <c r="D342" s="72"/>
      <c r="E342" s="72"/>
      <c r="F342" s="72"/>
    </row>
    <row r="343" spans="3:6" ht="15" customHeight="1">
      <c r="C343" s="72"/>
      <c r="D343" s="72"/>
      <c r="E343" s="72"/>
      <c r="F343" s="72"/>
    </row>
    <row r="344" spans="3:6" ht="15" customHeight="1">
      <c r="C344" s="72"/>
      <c r="D344" s="72"/>
      <c r="E344" s="72"/>
      <c r="F344" s="72"/>
    </row>
    <row r="345" spans="3:6" ht="18.75" customHeight="1">
      <c r="C345" s="72"/>
      <c r="D345" s="72"/>
      <c r="E345" s="72"/>
      <c r="F345" s="72"/>
    </row>
    <row r="346" spans="3:6" ht="15" customHeight="1">
      <c r="C346" s="72"/>
      <c r="D346" s="72"/>
      <c r="E346" s="72"/>
      <c r="F346" s="72"/>
    </row>
    <row r="347" spans="3:6" ht="15" customHeight="1">
      <c r="C347" s="72"/>
      <c r="D347" s="72"/>
      <c r="E347" s="72"/>
      <c r="F347" s="72"/>
    </row>
    <row r="348" spans="3:6" ht="19.5">
      <c r="C348" s="72"/>
      <c r="D348" s="72"/>
      <c r="E348" s="72"/>
      <c r="F348" s="72"/>
    </row>
    <row r="349" spans="3:6" ht="15" customHeight="1">
      <c r="C349" s="72"/>
      <c r="D349" s="72"/>
      <c r="E349" s="72"/>
      <c r="F349" s="72"/>
    </row>
    <row r="350" spans="3:6" ht="15" customHeight="1">
      <c r="C350" s="72"/>
      <c r="D350" s="72"/>
      <c r="E350" s="72"/>
      <c r="F350" s="72"/>
    </row>
    <row r="351" spans="3:6" ht="15" customHeight="1">
      <c r="C351" s="72"/>
      <c r="D351" s="72"/>
      <c r="E351" s="72"/>
      <c r="F351" s="72"/>
    </row>
    <row r="352" spans="3:6" ht="15" customHeight="1">
      <c r="C352" s="72"/>
      <c r="D352" s="72"/>
      <c r="E352" s="72"/>
      <c r="F352" s="72"/>
    </row>
    <row r="353" spans="3:7" ht="15" customHeight="1">
      <c r="C353" s="72"/>
      <c r="D353" s="72"/>
      <c r="E353" s="72"/>
      <c r="F353" s="72"/>
    </row>
    <row r="354" spans="3:7" ht="15" customHeight="1">
      <c r="C354" s="72"/>
      <c r="D354" s="72"/>
      <c r="E354" s="72"/>
      <c r="F354" s="72"/>
    </row>
    <row r="355" spans="3:7" ht="15" customHeight="1">
      <c r="C355" s="72"/>
      <c r="D355" s="72"/>
      <c r="E355" s="72"/>
      <c r="F355" s="72"/>
      <c r="G355" s="69"/>
    </row>
    <row r="356" spans="3:7" ht="15" customHeight="1">
      <c r="C356" s="72"/>
      <c r="D356" s="72"/>
      <c r="E356" s="72"/>
      <c r="F356" s="72"/>
      <c r="G356" s="69"/>
    </row>
    <row r="357" spans="3:7" ht="15" customHeight="1">
      <c r="C357" s="72"/>
      <c r="D357" s="72"/>
      <c r="E357" s="72"/>
      <c r="F357" s="72"/>
      <c r="G357" s="69"/>
    </row>
    <row r="358" spans="3:7" ht="15" customHeight="1">
      <c r="C358" s="72"/>
      <c r="D358" s="72"/>
      <c r="E358" s="72"/>
      <c r="F358" s="72"/>
      <c r="G358" s="69"/>
    </row>
    <row r="359" spans="3:7" ht="15" customHeight="1">
      <c r="C359" s="72"/>
      <c r="D359" s="72"/>
      <c r="E359" s="72"/>
      <c r="F359" s="72"/>
      <c r="G359" s="69"/>
    </row>
    <row r="360" spans="3:7" ht="15" customHeight="1">
      <c r="C360" s="72"/>
      <c r="D360" s="72"/>
      <c r="E360" s="72"/>
      <c r="F360" s="72"/>
      <c r="G360" s="69"/>
    </row>
    <row r="361" spans="3:7" ht="15" customHeight="1">
      <c r="C361" s="72"/>
      <c r="D361" s="72"/>
      <c r="E361" s="72"/>
      <c r="F361" s="72"/>
      <c r="G361" s="69"/>
    </row>
    <row r="362" spans="3:7" ht="15" customHeight="1">
      <c r="C362" s="72"/>
      <c r="D362" s="72"/>
      <c r="E362" s="72"/>
      <c r="F362" s="72"/>
      <c r="G362" s="69"/>
    </row>
    <row r="363" spans="3:7" ht="15" customHeight="1">
      <c r="C363" s="72"/>
      <c r="D363" s="72"/>
      <c r="E363" s="72"/>
      <c r="F363" s="72"/>
      <c r="G363" s="69"/>
    </row>
    <row r="364" spans="3:7" ht="15" customHeight="1">
      <c r="C364" s="72"/>
      <c r="D364" s="72"/>
      <c r="E364" s="72"/>
      <c r="F364" s="72"/>
      <c r="G364" s="69"/>
    </row>
    <row r="365" spans="3:7" ht="15" customHeight="1">
      <c r="C365" s="72"/>
      <c r="D365" s="72"/>
      <c r="E365" s="72"/>
      <c r="F365" s="72"/>
      <c r="G365" s="69"/>
    </row>
    <row r="366" spans="3:7" ht="15" customHeight="1">
      <c r="C366" s="72"/>
      <c r="D366" s="72"/>
      <c r="E366" s="72"/>
      <c r="F366" s="72"/>
    </row>
    <row r="367" spans="3:7" ht="15" customHeight="1">
      <c r="C367" s="72"/>
      <c r="D367" s="72"/>
      <c r="E367" s="72"/>
      <c r="F367" s="72"/>
    </row>
    <row r="368" spans="3:7" ht="15" customHeight="1">
      <c r="C368" s="72"/>
      <c r="D368" s="72"/>
      <c r="E368" s="72"/>
      <c r="F368" s="72"/>
    </row>
    <row r="369" spans="3:6" ht="15" customHeight="1">
      <c r="C369" s="72"/>
      <c r="D369" s="72"/>
      <c r="E369" s="72"/>
      <c r="F369" s="72"/>
    </row>
    <row r="370" spans="3:6" ht="15" customHeight="1">
      <c r="C370" s="72"/>
      <c r="D370" s="72"/>
      <c r="E370" s="72"/>
      <c r="F370" s="72"/>
    </row>
    <row r="371" spans="3:6" ht="15" customHeight="1">
      <c r="C371" s="72"/>
      <c r="D371" s="72"/>
      <c r="E371" s="72"/>
      <c r="F371" s="72"/>
    </row>
    <row r="372" spans="3:6" ht="15" customHeight="1">
      <c r="C372" s="72"/>
      <c r="D372" s="72"/>
      <c r="E372" s="72"/>
      <c r="F372" s="72"/>
    </row>
    <row r="373" spans="3:6" ht="15" customHeight="1">
      <c r="C373" s="72"/>
      <c r="D373" s="72"/>
      <c r="E373" s="72"/>
      <c r="F373" s="72"/>
    </row>
    <row r="374" spans="3:6" ht="15" customHeight="1">
      <c r="C374" s="72"/>
      <c r="D374" s="72"/>
      <c r="E374" s="72"/>
      <c r="F374" s="72"/>
    </row>
    <row r="375" spans="3:6" ht="15" customHeight="1">
      <c r="C375" s="72"/>
      <c r="D375" s="72"/>
      <c r="E375" s="72"/>
      <c r="F375" s="72"/>
    </row>
    <row r="376" spans="3:6" ht="15" customHeight="1">
      <c r="C376" s="72"/>
      <c r="D376" s="72"/>
      <c r="E376" s="72"/>
      <c r="F376" s="72"/>
    </row>
    <row r="377" spans="3:6" ht="15" customHeight="1">
      <c r="C377" s="72"/>
      <c r="D377" s="72"/>
      <c r="E377" s="72"/>
      <c r="F377" s="72"/>
    </row>
    <row r="378" spans="3:6" ht="15" customHeight="1">
      <c r="C378" s="72"/>
      <c r="D378" s="72"/>
      <c r="E378" s="72"/>
      <c r="F378" s="72"/>
    </row>
    <row r="379" spans="3:6" ht="15" customHeight="1">
      <c r="C379" s="72"/>
      <c r="D379" s="72"/>
      <c r="E379" s="72"/>
      <c r="F379" s="72"/>
    </row>
    <row r="380" spans="3:6" ht="18.75" customHeight="1">
      <c r="C380" s="72"/>
      <c r="D380" s="72"/>
      <c r="E380" s="72"/>
      <c r="F380" s="72"/>
    </row>
    <row r="381" spans="3:6" ht="22.5" customHeight="1">
      <c r="C381" s="72"/>
      <c r="D381" s="72"/>
      <c r="E381" s="72"/>
      <c r="F381" s="72"/>
    </row>
    <row r="382" spans="3:6" ht="19.5">
      <c r="C382" s="72"/>
      <c r="D382" s="72"/>
      <c r="E382" s="72"/>
      <c r="F382" s="72"/>
    </row>
    <row r="383" spans="3:6" ht="19.5">
      <c r="C383" s="72"/>
      <c r="D383" s="72"/>
      <c r="E383" s="72"/>
      <c r="F383" s="72"/>
    </row>
    <row r="384" spans="3:6" ht="19.5">
      <c r="C384" s="72"/>
      <c r="D384" s="72"/>
      <c r="E384" s="72"/>
      <c r="F384" s="72"/>
    </row>
    <row r="385" spans="3:6" ht="19.5">
      <c r="C385" s="72"/>
      <c r="D385" s="72"/>
      <c r="E385" s="72"/>
      <c r="F385" s="72"/>
    </row>
    <row r="386" spans="3:6" ht="19.5">
      <c r="C386" s="72"/>
      <c r="D386" s="72"/>
      <c r="E386" s="72"/>
      <c r="F386" s="72"/>
    </row>
    <row r="387" spans="3:6" ht="19.5">
      <c r="C387" s="72"/>
      <c r="D387" s="72"/>
      <c r="E387" s="72"/>
      <c r="F387" s="72"/>
    </row>
    <row r="388" spans="3:6" ht="19.5">
      <c r="C388" s="72"/>
      <c r="D388" s="72"/>
      <c r="E388" s="72"/>
      <c r="F388" s="72"/>
    </row>
    <row r="389" spans="3:6" ht="19.5">
      <c r="C389" s="72"/>
      <c r="D389" s="72"/>
      <c r="E389" s="72"/>
      <c r="F389" s="72"/>
    </row>
    <row r="390" spans="3:6" ht="19.5">
      <c r="C390" s="72"/>
      <c r="D390" s="72"/>
      <c r="E390" s="72"/>
      <c r="F390" s="72"/>
    </row>
    <row r="391" spans="3:6" ht="19.5">
      <c r="C391" s="72"/>
      <c r="D391" s="72"/>
      <c r="E391" s="72"/>
      <c r="F391" s="72"/>
    </row>
    <row r="392" spans="3:6" ht="19.5">
      <c r="C392" s="72"/>
      <c r="D392" s="72"/>
      <c r="E392" s="72"/>
      <c r="F392" s="72"/>
    </row>
    <row r="393" spans="3:6" ht="19.5">
      <c r="C393" s="72"/>
      <c r="D393" s="72"/>
      <c r="E393" s="72"/>
      <c r="F393" s="72"/>
    </row>
    <row r="394" spans="3:6" ht="19.5">
      <c r="C394" s="72"/>
      <c r="D394" s="72"/>
      <c r="E394" s="72"/>
      <c r="F394" s="72"/>
    </row>
    <row r="395" spans="3:6" ht="19.5">
      <c r="C395" s="72"/>
      <c r="D395" s="72"/>
      <c r="E395" s="72"/>
      <c r="F395" s="72"/>
    </row>
    <row r="396" spans="3:6" ht="19.5">
      <c r="C396" s="72"/>
      <c r="D396" s="72"/>
      <c r="E396" s="72"/>
      <c r="F396" s="72"/>
    </row>
    <row r="397" spans="3:6" ht="19.5">
      <c r="C397" s="72"/>
      <c r="D397" s="72"/>
      <c r="E397" s="72"/>
      <c r="F397" s="72"/>
    </row>
    <row r="398" spans="3:6" ht="19.5">
      <c r="C398" s="72"/>
      <c r="D398" s="72"/>
      <c r="E398" s="72"/>
      <c r="F398" s="72"/>
    </row>
    <row r="399" spans="3:6" ht="19.5">
      <c r="C399" s="72"/>
      <c r="D399" s="72"/>
      <c r="E399" s="72"/>
      <c r="F399" s="72"/>
    </row>
    <row r="400" spans="3:6" ht="19.5">
      <c r="C400" s="72"/>
      <c r="D400" s="72"/>
      <c r="E400" s="72"/>
      <c r="F400" s="72"/>
    </row>
    <row r="401" spans="3:6" ht="19.5">
      <c r="C401" s="72"/>
      <c r="D401" s="72"/>
      <c r="E401" s="72"/>
      <c r="F401" s="72"/>
    </row>
    <row r="402" spans="3:6" ht="19.5">
      <c r="C402" s="72"/>
      <c r="D402" s="72"/>
      <c r="E402" s="72"/>
      <c r="F402" s="72"/>
    </row>
    <row r="403" spans="3:6" ht="19.5">
      <c r="C403" s="72"/>
      <c r="D403" s="72"/>
      <c r="E403" s="72"/>
      <c r="F403" s="72"/>
    </row>
    <row r="404" spans="3:6" ht="19.5">
      <c r="C404" s="72"/>
      <c r="D404" s="72"/>
      <c r="E404" s="72"/>
      <c r="F404" s="72"/>
    </row>
    <row r="405" spans="3:6" ht="19.5">
      <c r="C405" s="72"/>
      <c r="D405" s="72"/>
      <c r="E405" s="72"/>
      <c r="F405" s="72"/>
    </row>
    <row r="406" spans="3:6" ht="19.5">
      <c r="C406" s="72"/>
      <c r="D406" s="72"/>
      <c r="E406" s="72"/>
      <c r="F406" s="72"/>
    </row>
    <row r="407" spans="3:6" ht="19.5">
      <c r="C407" s="72"/>
      <c r="D407" s="72"/>
      <c r="E407" s="72"/>
      <c r="F407" s="72"/>
    </row>
    <row r="408" spans="3:6" ht="19.5">
      <c r="C408" s="72"/>
      <c r="D408" s="72"/>
      <c r="E408" s="72"/>
      <c r="F408" s="72"/>
    </row>
    <row r="409" spans="3:6" ht="19.5">
      <c r="C409" s="72"/>
      <c r="D409" s="72"/>
      <c r="E409" s="72"/>
      <c r="F409" s="72"/>
    </row>
    <row r="410" spans="3:6" ht="19.5">
      <c r="C410" s="72"/>
      <c r="D410" s="72"/>
      <c r="E410" s="72"/>
      <c r="F410" s="72"/>
    </row>
    <row r="411" spans="3:6" ht="19.5">
      <c r="C411" s="72"/>
      <c r="D411" s="72"/>
      <c r="E411" s="72"/>
      <c r="F411" s="72"/>
    </row>
    <row r="412" spans="3:6" ht="19.5">
      <c r="C412" s="72"/>
      <c r="D412" s="72"/>
      <c r="E412" s="72"/>
      <c r="F412" s="72"/>
    </row>
    <row r="413" spans="3:6" ht="19.5">
      <c r="C413" s="72"/>
      <c r="D413" s="72"/>
      <c r="E413" s="72"/>
      <c r="F413" s="72"/>
    </row>
    <row r="414" spans="3:6" ht="19.5">
      <c r="C414" s="72"/>
      <c r="D414" s="72"/>
      <c r="E414" s="72"/>
      <c r="F414" s="72"/>
    </row>
    <row r="415" spans="3:6" ht="19.5">
      <c r="C415" s="72"/>
      <c r="D415" s="72"/>
      <c r="E415" s="72"/>
      <c r="F415" s="72"/>
    </row>
    <row r="416" spans="3:6" ht="19.5">
      <c r="C416" s="72"/>
      <c r="D416" s="72"/>
      <c r="E416" s="72"/>
      <c r="F416" s="72"/>
    </row>
    <row r="417" spans="3:6" ht="19.5">
      <c r="C417" s="72"/>
      <c r="D417" s="72"/>
      <c r="E417" s="72"/>
      <c r="F417" s="72"/>
    </row>
    <row r="418" spans="3:6" ht="19.5">
      <c r="C418" s="72"/>
      <c r="D418" s="72"/>
      <c r="E418" s="72"/>
      <c r="F418" s="72"/>
    </row>
    <row r="419" spans="3:6" ht="19.5">
      <c r="C419" s="72"/>
      <c r="D419" s="72"/>
      <c r="E419" s="72"/>
      <c r="F419" s="72"/>
    </row>
    <row r="420" spans="3:6" ht="19.5">
      <c r="C420" s="72"/>
      <c r="D420" s="72"/>
      <c r="E420" s="72"/>
      <c r="F420" s="72"/>
    </row>
    <row r="421" spans="3:6" ht="19.5">
      <c r="C421" s="72"/>
      <c r="D421" s="72"/>
      <c r="E421" s="72"/>
      <c r="F421" s="72"/>
    </row>
    <row r="422" spans="3:6" ht="19.5">
      <c r="C422" s="72"/>
      <c r="D422" s="72"/>
      <c r="E422" s="72"/>
      <c r="F422" s="72"/>
    </row>
    <row r="423" spans="3:6" ht="19.5">
      <c r="C423" s="72"/>
      <c r="D423" s="72"/>
      <c r="E423" s="72"/>
      <c r="F423" s="72"/>
    </row>
    <row r="424" spans="3:6" ht="19.5">
      <c r="C424" s="72"/>
      <c r="D424" s="72"/>
      <c r="E424" s="72"/>
      <c r="F424" s="72"/>
    </row>
    <row r="425" spans="3:6" ht="19.5">
      <c r="C425" s="72"/>
      <c r="D425" s="72"/>
      <c r="E425" s="72"/>
      <c r="F425" s="72"/>
    </row>
    <row r="426" spans="3:6" ht="19.5">
      <c r="C426" s="72"/>
      <c r="D426" s="72"/>
      <c r="E426" s="72"/>
      <c r="F426" s="72"/>
    </row>
    <row r="427" spans="3:6" ht="19.5">
      <c r="C427" s="72"/>
      <c r="D427" s="72"/>
      <c r="E427" s="72"/>
      <c r="F427" s="72"/>
    </row>
    <row r="428" spans="3:6" ht="19.5">
      <c r="C428" s="72"/>
      <c r="D428" s="72"/>
      <c r="E428" s="72"/>
      <c r="F428" s="72"/>
    </row>
    <row r="429" spans="3:6" ht="19.5">
      <c r="C429" s="72"/>
      <c r="D429" s="72"/>
      <c r="E429" s="72"/>
      <c r="F429" s="72"/>
    </row>
    <row r="430" spans="3:6" ht="19.5">
      <c r="C430" s="72"/>
      <c r="D430" s="72"/>
      <c r="E430" s="72"/>
      <c r="F430" s="72"/>
    </row>
    <row r="431" spans="3:6" ht="19.5">
      <c r="C431" s="72"/>
      <c r="D431" s="72"/>
      <c r="E431" s="72"/>
      <c r="F431" s="72"/>
    </row>
    <row r="432" spans="3:6" ht="19.5">
      <c r="C432" s="72"/>
      <c r="D432" s="72"/>
      <c r="E432" s="72"/>
      <c r="F432" s="72"/>
    </row>
    <row r="433" spans="3:6" ht="19.5">
      <c r="C433" s="72"/>
      <c r="D433" s="72"/>
      <c r="E433" s="72"/>
      <c r="F433" s="72"/>
    </row>
    <row r="434" spans="3:6" ht="19.5">
      <c r="C434" s="72"/>
      <c r="D434" s="72"/>
      <c r="E434" s="72"/>
      <c r="F434" s="72"/>
    </row>
    <row r="435" spans="3:6" ht="19.5">
      <c r="C435" s="72"/>
      <c r="D435" s="72"/>
      <c r="E435" s="72"/>
      <c r="F435" s="72"/>
    </row>
    <row r="436" spans="3:6" ht="19.5">
      <c r="C436" s="72"/>
      <c r="D436" s="72"/>
      <c r="E436" s="72"/>
      <c r="F436" s="72"/>
    </row>
    <row r="437" spans="3:6" ht="19.5">
      <c r="C437" s="72"/>
      <c r="D437" s="72"/>
      <c r="E437" s="72"/>
      <c r="F437" s="72"/>
    </row>
    <row r="438" spans="3:6" ht="19.5">
      <c r="C438" s="72"/>
      <c r="D438" s="72"/>
      <c r="E438" s="72"/>
      <c r="F438" s="72"/>
    </row>
    <row r="439" spans="3:6" ht="19.5">
      <c r="C439" s="72"/>
      <c r="D439" s="72"/>
      <c r="E439" s="72"/>
      <c r="F439" s="72"/>
    </row>
    <row r="440" spans="3:6" ht="19.5">
      <c r="C440" s="72"/>
      <c r="D440" s="72"/>
      <c r="E440" s="72"/>
      <c r="F440" s="72"/>
    </row>
    <row r="441" spans="3:6" ht="19.5">
      <c r="C441" s="72"/>
      <c r="D441" s="72"/>
      <c r="E441" s="72"/>
      <c r="F441" s="72"/>
    </row>
    <row r="442" spans="3:6" ht="19.5">
      <c r="C442" s="72"/>
      <c r="D442" s="72"/>
      <c r="E442" s="72"/>
      <c r="F442" s="72"/>
    </row>
    <row r="443" spans="3:6" ht="19.5">
      <c r="C443" s="72"/>
      <c r="D443" s="72"/>
      <c r="E443" s="72"/>
      <c r="F443" s="72"/>
    </row>
    <row r="444" spans="3:6" ht="19.5">
      <c r="C444" s="72"/>
      <c r="D444" s="72"/>
      <c r="E444" s="72"/>
      <c r="F444" s="72"/>
    </row>
    <row r="445" spans="3:6" ht="19.5">
      <c r="C445" s="72"/>
      <c r="D445" s="72"/>
      <c r="E445" s="72"/>
      <c r="F445" s="72"/>
    </row>
    <row r="446" spans="3:6" ht="19.5">
      <c r="C446" s="72"/>
      <c r="D446" s="72"/>
      <c r="E446" s="72"/>
      <c r="F446" s="72"/>
    </row>
    <row r="447" spans="3:6" ht="19.5">
      <c r="C447" s="72"/>
      <c r="D447" s="72"/>
      <c r="E447" s="72"/>
      <c r="F447" s="72"/>
    </row>
    <row r="448" spans="3:6" ht="19.5">
      <c r="C448" s="72"/>
      <c r="D448" s="72"/>
      <c r="E448" s="72"/>
      <c r="F448" s="72"/>
    </row>
    <row r="449" spans="3:6" ht="19.5">
      <c r="C449" s="72"/>
      <c r="D449" s="72"/>
      <c r="E449" s="72"/>
      <c r="F449" s="72"/>
    </row>
    <row r="450" spans="3:6" ht="19.5">
      <c r="C450" s="72"/>
      <c r="D450" s="72"/>
      <c r="E450" s="72"/>
      <c r="F450" s="72"/>
    </row>
    <row r="451" spans="3:6" ht="19.5">
      <c r="C451" s="72"/>
      <c r="D451" s="72"/>
      <c r="E451" s="72"/>
      <c r="F451" s="72"/>
    </row>
    <row r="452" spans="3:6" ht="19.5">
      <c r="C452" s="72"/>
      <c r="D452" s="72"/>
      <c r="E452" s="72"/>
      <c r="F452" s="72"/>
    </row>
    <row r="453" spans="3:6" ht="19.5">
      <c r="C453" s="72"/>
      <c r="D453" s="72"/>
      <c r="E453" s="72"/>
      <c r="F453" s="72"/>
    </row>
    <row r="454" spans="3:6" ht="19.5">
      <c r="C454" s="72"/>
      <c r="D454" s="72"/>
      <c r="E454" s="72"/>
      <c r="F454" s="72"/>
    </row>
    <row r="455" spans="3:6" ht="19.5">
      <c r="C455" s="72"/>
      <c r="D455" s="72"/>
      <c r="E455" s="72"/>
      <c r="F455" s="72"/>
    </row>
    <row r="456" spans="3:6" ht="19.5">
      <c r="C456" s="72"/>
      <c r="D456" s="72"/>
      <c r="E456" s="72"/>
      <c r="F456" s="72"/>
    </row>
    <row r="457" spans="3:6" ht="19.5">
      <c r="C457" s="72"/>
      <c r="D457" s="72"/>
      <c r="E457" s="72"/>
      <c r="F457" s="72"/>
    </row>
    <row r="458" spans="3:6" ht="19.5">
      <c r="C458" s="72"/>
      <c r="D458" s="72"/>
      <c r="E458" s="72"/>
      <c r="F458" s="72"/>
    </row>
    <row r="459" spans="3:6" ht="19.5">
      <c r="C459" s="72"/>
      <c r="D459" s="72"/>
      <c r="E459" s="72"/>
      <c r="F459" s="72"/>
    </row>
    <row r="460" spans="3:6" ht="19.5">
      <c r="C460" s="72"/>
      <c r="D460" s="72"/>
      <c r="E460" s="72"/>
      <c r="F460" s="72"/>
    </row>
    <row r="461" spans="3:6" ht="19.5">
      <c r="C461" s="72"/>
      <c r="D461" s="72"/>
      <c r="E461" s="72"/>
      <c r="F461" s="72"/>
    </row>
    <row r="462" spans="3:6" ht="19.5">
      <c r="C462" s="72"/>
      <c r="D462" s="72"/>
      <c r="E462" s="72"/>
      <c r="F462" s="72"/>
    </row>
    <row r="463" spans="3:6" ht="19.5">
      <c r="C463" s="72"/>
      <c r="D463" s="72"/>
      <c r="E463" s="72"/>
      <c r="F463" s="72"/>
    </row>
    <row r="464" spans="3:6" ht="19.5">
      <c r="C464" s="72"/>
      <c r="D464" s="72"/>
      <c r="E464" s="72"/>
      <c r="F464" s="72"/>
    </row>
    <row r="465" spans="3:6" ht="19.5">
      <c r="C465" s="72"/>
      <c r="D465" s="72"/>
      <c r="E465" s="72"/>
      <c r="F465" s="72"/>
    </row>
    <row r="466" spans="3:6" ht="19.5">
      <c r="C466" s="72"/>
      <c r="D466" s="72"/>
      <c r="E466" s="72"/>
      <c r="F466" s="72"/>
    </row>
    <row r="467" spans="3:6" ht="19.5">
      <c r="C467" s="72"/>
      <c r="D467" s="72"/>
      <c r="E467" s="72"/>
      <c r="F467" s="72"/>
    </row>
    <row r="468" spans="3:6" ht="19.5">
      <c r="C468" s="72"/>
      <c r="D468" s="72"/>
      <c r="E468" s="72"/>
      <c r="F468" s="72"/>
    </row>
    <row r="469" spans="3:6" ht="19.5">
      <c r="C469" s="72"/>
      <c r="D469" s="72"/>
      <c r="E469" s="72"/>
      <c r="F469" s="72"/>
    </row>
    <row r="470" spans="3:6" ht="19.5">
      <c r="C470" s="72"/>
      <c r="D470" s="72"/>
      <c r="E470" s="72"/>
      <c r="F470" s="72"/>
    </row>
    <row r="471" spans="3:6" ht="19.5">
      <c r="C471" s="72"/>
      <c r="D471" s="72"/>
      <c r="E471" s="72"/>
      <c r="F471" s="72"/>
    </row>
    <row r="472" spans="3:6" ht="19.5">
      <c r="C472" s="72"/>
      <c r="D472" s="72"/>
      <c r="E472" s="72"/>
      <c r="F472" s="72"/>
    </row>
    <row r="473" spans="3:6" ht="19.5">
      <c r="C473" s="72"/>
      <c r="D473" s="72"/>
      <c r="E473" s="72"/>
      <c r="F473" s="72"/>
    </row>
    <row r="474" spans="3:6" ht="19.5">
      <c r="C474" s="72"/>
      <c r="D474" s="72"/>
      <c r="E474" s="72"/>
      <c r="F474" s="72"/>
    </row>
    <row r="475" spans="3:6" ht="19.5">
      <c r="C475" s="72"/>
      <c r="D475" s="72"/>
      <c r="E475" s="72"/>
      <c r="F475" s="72"/>
    </row>
    <row r="476" spans="3:6" ht="19.5">
      <c r="C476" s="72"/>
      <c r="D476" s="72"/>
      <c r="E476" s="72"/>
      <c r="F476" s="72"/>
    </row>
    <row r="477" spans="3:6" ht="19.5">
      <c r="C477" s="72"/>
      <c r="D477" s="72"/>
      <c r="E477" s="72"/>
      <c r="F477" s="72"/>
    </row>
    <row r="478" spans="3:6" ht="19.5">
      <c r="C478" s="72"/>
      <c r="D478" s="72"/>
      <c r="E478" s="72"/>
      <c r="F478" s="72"/>
    </row>
    <row r="479" spans="3:6" ht="19.5">
      <c r="C479" s="72"/>
      <c r="D479" s="72"/>
      <c r="E479" s="72"/>
      <c r="F479" s="72"/>
    </row>
    <row r="480" spans="3:6" ht="19.5">
      <c r="C480" s="72"/>
      <c r="D480" s="72"/>
      <c r="E480" s="72"/>
      <c r="F480" s="72"/>
    </row>
    <row r="481" spans="3:6" ht="19.5">
      <c r="C481" s="72"/>
      <c r="D481" s="72"/>
      <c r="E481" s="72"/>
      <c r="F481" s="72"/>
    </row>
    <row r="482" spans="3:6" ht="19.5">
      <c r="C482" s="72"/>
      <c r="D482" s="72"/>
      <c r="E482" s="72"/>
      <c r="F482" s="72"/>
    </row>
    <row r="483" spans="3:6" ht="19.5">
      <c r="C483" s="72"/>
      <c r="D483" s="72"/>
      <c r="E483" s="72"/>
      <c r="F483" s="72"/>
    </row>
    <row r="484" spans="3:6" ht="19.5">
      <c r="C484" s="72"/>
      <c r="D484" s="72"/>
      <c r="E484" s="72"/>
      <c r="F484" s="72"/>
    </row>
    <row r="485" spans="3:6" ht="19.5">
      <c r="C485" s="72"/>
      <c r="D485" s="72"/>
      <c r="E485" s="72"/>
      <c r="F485" s="72"/>
    </row>
    <row r="486" spans="3:6" ht="19.5">
      <c r="C486" s="72"/>
      <c r="D486" s="72"/>
      <c r="E486" s="72"/>
      <c r="F486" s="72"/>
    </row>
    <row r="487" spans="3:6" ht="19.5">
      <c r="C487" s="72"/>
      <c r="D487" s="72"/>
      <c r="E487" s="72"/>
      <c r="F487" s="72"/>
    </row>
    <row r="488" spans="3:6" ht="19.5">
      <c r="C488" s="72"/>
      <c r="D488" s="72"/>
      <c r="E488" s="72"/>
      <c r="F488" s="72"/>
    </row>
    <row r="489" spans="3:6" ht="19.5">
      <c r="C489" s="72"/>
      <c r="D489" s="72"/>
      <c r="E489" s="72"/>
      <c r="F489" s="72"/>
    </row>
    <row r="490" spans="3:6" ht="19.5">
      <c r="C490" s="72"/>
      <c r="D490" s="72"/>
      <c r="E490" s="72"/>
      <c r="F490" s="72"/>
    </row>
    <row r="491" spans="3:6" ht="19.5">
      <c r="C491" s="72"/>
      <c r="D491" s="72"/>
      <c r="E491" s="72"/>
      <c r="F491" s="72"/>
    </row>
    <row r="492" spans="3:6" ht="19.5">
      <c r="C492" s="72"/>
      <c r="D492" s="72"/>
      <c r="E492" s="72"/>
      <c r="F492" s="72"/>
    </row>
    <row r="493" spans="3:6" ht="19.5">
      <c r="C493" s="72"/>
      <c r="D493" s="72"/>
      <c r="E493" s="72"/>
      <c r="F493" s="72"/>
    </row>
    <row r="494" spans="3:6" ht="19.5">
      <c r="C494" s="72"/>
      <c r="D494" s="72"/>
      <c r="E494" s="72"/>
      <c r="F494" s="72"/>
    </row>
    <row r="495" spans="3:6" ht="19.5">
      <c r="C495" s="72"/>
      <c r="D495" s="72"/>
      <c r="E495" s="72"/>
      <c r="F495" s="72"/>
    </row>
    <row r="496" spans="3:6" ht="19.5">
      <c r="C496" s="72"/>
      <c r="D496" s="72"/>
      <c r="E496" s="72"/>
      <c r="F496" s="72"/>
    </row>
    <row r="497" spans="3:6" ht="19.5">
      <c r="C497" s="72"/>
      <c r="D497" s="72"/>
      <c r="E497" s="72"/>
      <c r="F497" s="72"/>
    </row>
    <row r="498" spans="3:6" ht="19.5">
      <c r="C498" s="72"/>
      <c r="D498" s="72"/>
      <c r="E498" s="72"/>
      <c r="F498" s="72"/>
    </row>
    <row r="499" spans="3:6" ht="19.5">
      <c r="C499" s="72"/>
      <c r="D499" s="72"/>
      <c r="E499" s="72"/>
      <c r="F499" s="72"/>
    </row>
    <row r="500" spans="3:6" ht="19.5">
      <c r="C500" s="72"/>
      <c r="D500" s="72"/>
      <c r="E500" s="72"/>
      <c r="F500" s="72"/>
    </row>
    <row r="501" spans="3:6" ht="19.5">
      <c r="C501" s="72"/>
      <c r="D501" s="72"/>
      <c r="E501" s="72"/>
      <c r="F501" s="72"/>
    </row>
    <row r="502" spans="3:6" ht="19.5">
      <c r="C502" s="72"/>
      <c r="D502" s="72"/>
      <c r="E502" s="72"/>
      <c r="F502" s="72"/>
    </row>
    <row r="503" spans="3:6" ht="19.5">
      <c r="C503" s="72"/>
      <c r="D503" s="72"/>
      <c r="E503" s="72"/>
      <c r="F503" s="72"/>
    </row>
    <row r="504" spans="3:6" ht="19.5">
      <c r="C504" s="72"/>
      <c r="D504" s="72"/>
      <c r="E504" s="72"/>
      <c r="F504" s="72"/>
    </row>
    <row r="505" spans="3:6" ht="19.5">
      <c r="C505" s="72"/>
      <c r="D505" s="72"/>
      <c r="E505" s="72"/>
      <c r="F505" s="72"/>
    </row>
    <row r="506" spans="3:6" ht="19.5">
      <c r="C506" s="72"/>
      <c r="D506" s="72"/>
      <c r="E506" s="72"/>
      <c r="F506" s="72"/>
    </row>
    <row r="507" spans="3:6" ht="19.5">
      <c r="C507" s="72"/>
      <c r="D507" s="72"/>
      <c r="E507" s="72"/>
      <c r="F507" s="72"/>
    </row>
    <row r="508" spans="3:6" ht="19.5">
      <c r="C508" s="72"/>
      <c r="D508" s="72"/>
      <c r="E508" s="72"/>
      <c r="F508" s="72"/>
    </row>
    <row r="509" spans="3:6" ht="19.5">
      <c r="C509" s="72"/>
      <c r="D509" s="72"/>
      <c r="E509" s="72"/>
      <c r="F509" s="72"/>
    </row>
    <row r="510" spans="3:6" ht="19.5">
      <c r="C510" s="72"/>
      <c r="D510" s="72"/>
      <c r="E510" s="72"/>
      <c r="F510" s="72"/>
    </row>
    <row r="511" spans="3:6" ht="19.5">
      <c r="C511" s="72"/>
      <c r="D511" s="72"/>
      <c r="E511" s="72"/>
      <c r="F511" s="72"/>
    </row>
    <row r="512" spans="3:6" ht="19.5">
      <c r="C512" s="72"/>
      <c r="D512" s="72"/>
      <c r="E512" s="72"/>
      <c r="F512" s="72"/>
    </row>
    <row r="513" spans="3:6" ht="19.5">
      <c r="C513" s="72"/>
      <c r="D513" s="72"/>
      <c r="E513" s="72"/>
      <c r="F513" s="72"/>
    </row>
    <row r="514" spans="3:6" ht="19.5">
      <c r="C514" s="72"/>
      <c r="D514" s="72"/>
      <c r="E514" s="72"/>
      <c r="F514" s="72"/>
    </row>
    <row r="515" spans="3:6" ht="19.5">
      <c r="C515" s="72"/>
      <c r="D515" s="72"/>
      <c r="E515" s="72"/>
      <c r="F515" s="72"/>
    </row>
    <row r="516" spans="3:6" ht="19.5">
      <c r="C516" s="72"/>
      <c r="D516" s="72"/>
      <c r="E516" s="72"/>
      <c r="F516" s="72"/>
    </row>
    <row r="517" spans="3:6" ht="19.5">
      <c r="C517" s="72"/>
      <c r="D517" s="72"/>
      <c r="E517" s="72"/>
      <c r="F517" s="72"/>
    </row>
    <row r="518" spans="3:6" ht="19.5">
      <c r="C518" s="72"/>
      <c r="D518" s="72"/>
      <c r="E518" s="72"/>
      <c r="F518" s="72"/>
    </row>
    <row r="519" spans="3:6" ht="19.5">
      <c r="C519" s="72"/>
      <c r="D519" s="72"/>
      <c r="E519" s="72"/>
      <c r="F519" s="72"/>
    </row>
    <row r="520" spans="3:6" ht="19.5">
      <c r="C520" s="72"/>
      <c r="D520" s="72"/>
      <c r="E520" s="72"/>
      <c r="F520" s="72"/>
    </row>
    <row r="521" spans="3:6" ht="19.5">
      <c r="C521" s="72"/>
      <c r="D521" s="72"/>
      <c r="E521" s="72"/>
      <c r="F521" s="72"/>
    </row>
    <row r="522" spans="3:6" ht="19.5">
      <c r="C522" s="72"/>
      <c r="D522" s="72"/>
      <c r="E522" s="72"/>
      <c r="F522" s="72"/>
    </row>
    <row r="523" spans="3:6" ht="19.5">
      <c r="C523" s="72"/>
      <c r="D523" s="72"/>
      <c r="E523" s="72"/>
      <c r="F523" s="72"/>
    </row>
    <row r="524" spans="3:6" ht="19.5">
      <c r="C524" s="72"/>
      <c r="D524" s="72"/>
      <c r="E524" s="72"/>
      <c r="F524" s="72"/>
    </row>
    <row r="525" spans="3:6" ht="19.5">
      <c r="C525" s="72"/>
      <c r="D525" s="72"/>
      <c r="E525" s="72"/>
      <c r="F525" s="72"/>
    </row>
    <row r="526" spans="3:6" ht="19.5">
      <c r="C526" s="72"/>
      <c r="D526" s="72"/>
      <c r="E526" s="72"/>
      <c r="F526" s="72"/>
    </row>
    <row r="527" spans="3:6" ht="19.5">
      <c r="C527" s="72"/>
      <c r="D527" s="72"/>
      <c r="E527" s="72"/>
      <c r="F527" s="72"/>
    </row>
    <row r="528" spans="3:6" ht="19.5">
      <c r="C528" s="72"/>
      <c r="D528" s="72"/>
      <c r="E528" s="72"/>
      <c r="F528" s="72"/>
    </row>
    <row r="529" spans="3:6" ht="19.5">
      <c r="C529" s="72"/>
      <c r="D529" s="72"/>
      <c r="E529" s="72"/>
      <c r="F529" s="72"/>
    </row>
    <row r="530" spans="3:6" ht="19.5">
      <c r="C530" s="72"/>
      <c r="D530" s="72"/>
      <c r="E530" s="72"/>
      <c r="F530" s="72"/>
    </row>
    <row r="531" spans="3:6" ht="19.5">
      <c r="C531" s="72"/>
      <c r="D531" s="72"/>
      <c r="E531" s="72"/>
      <c r="F531" s="72"/>
    </row>
    <row r="532" spans="3:6" ht="19.5">
      <c r="C532" s="72"/>
      <c r="D532" s="72"/>
      <c r="E532" s="72"/>
      <c r="F532" s="72"/>
    </row>
    <row r="533" spans="3:6" ht="19.5">
      <c r="C533" s="72"/>
      <c r="D533" s="72"/>
      <c r="E533" s="72"/>
      <c r="F533" s="72"/>
    </row>
    <row r="534" spans="3:6" ht="19.5">
      <c r="C534" s="72"/>
      <c r="D534" s="72"/>
      <c r="E534" s="72"/>
      <c r="F534" s="72"/>
    </row>
    <row r="535" spans="3:6" ht="19.5">
      <c r="C535" s="72"/>
      <c r="D535" s="72"/>
      <c r="E535" s="72"/>
      <c r="F535" s="72"/>
    </row>
    <row r="536" spans="3:6" ht="19.5">
      <c r="C536" s="72"/>
      <c r="D536" s="72"/>
      <c r="E536" s="72"/>
      <c r="F536" s="72"/>
    </row>
    <row r="537" spans="3:6" ht="19.5">
      <c r="C537" s="72"/>
      <c r="D537" s="72"/>
      <c r="E537" s="72"/>
      <c r="F537" s="72"/>
    </row>
    <row r="538" spans="3:6" ht="19.5">
      <c r="C538" s="72"/>
      <c r="D538" s="72"/>
      <c r="E538" s="72"/>
      <c r="F538" s="72"/>
    </row>
    <row r="539" spans="3:6" ht="19.5">
      <c r="C539" s="72"/>
      <c r="D539" s="72"/>
      <c r="E539" s="72"/>
      <c r="F539" s="72"/>
    </row>
    <row r="540" spans="3:6" ht="19.5">
      <c r="C540" s="72"/>
      <c r="D540" s="72"/>
      <c r="E540" s="72"/>
      <c r="F540" s="72"/>
    </row>
    <row r="541" spans="3:6" ht="19.5">
      <c r="C541" s="72"/>
      <c r="D541" s="72"/>
      <c r="E541" s="72"/>
      <c r="F541" s="72"/>
    </row>
    <row r="542" spans="3:6" ht="19.5">
      <c r="C542" s="72"/>
      <c r="D542" s="72"/>
      <c r="E542" s="72"/>
      <c r="F542" s="72"/>
    </row>
    <row r="543" spans="3:6" ht="19.5">
      <c r="C543" s="72"/>
      <c r="D543" s="72"/>
      <c r="E543" s="72"/>
      <c r="F543" s="72"/>
    </row>
    <row r="544" spans="3:6" ht="19.5">
      <c r="C544" s="72"/>
      <c r="D544" s="72"/>
      <c r="E544" s="72"/>
      <c r="F544" s="72"/>
    </row>
    <row r="545" spans="3:6" ht="19.5">
      <c r="C545" s="72"/>
      <c r="D545" s="72"/>
      <c r="E545" s="72"/>
      <c r="F545" s="72"/>
    </row>
    <row r="546" spans="3:6" ht="19.5">
      <c r="C546" s="72"/>
      <c r="D546" s="72"/>
      <c r="E546" s="72"/>
      <c r="F546" s="72"/>
    </row>
    <row r="547" spans="3:6" ht="19.5">
      <c r="C547" s="72"/>
      <c r="D547" s="72"/>
      <c r="E547" s="72"/>
      <c r="F547" s="72"/>
    </row>
    <row r="548" spans="3:6" ht="19.5">
      <c r="C548" s="72"/>
      <c r="D548" s="72"/>
      <c r="E548" s="72"/>
      <c r="F548" s="72"/>
    </row>
    <row r="549" spans="3:6" ht="19.5">
      <c r="C549" s="72"/>
      <c r="D549" s="72"/>
      <c r="E549" s="72"/>
      <c r="F549" s="72"/>
    </row>
    <row r="550" spans="3:6" ht="19.5">
      <c r="C550" s="72"/>
      <c r="D550" s="72"/>
      <c r="E550" s="72"/>
      <c r="F550" s="72"/>
    </row>
    <row r="551" spans="3:6" ht="19.5">
      <c r="C551" s="72"/>
      <c r="D551" s="72"/>
      <c r="E551" s="72"/>
      <c r="F551" s="72"/>
    </row>
    <row r="552" spans="3:6" ht="19.5">
      <c r="C552" s="72"/>
      <c r="D552" s="72"/>
      <c r="E552" s="72"/>
      <c r="F552" s="72"/>
    </row>
    <row r="553" spans="3:6" ht="19.5">
      <c r="C553" s="72"/>
      <c r="D553" s="72"/>
      <c r="E553" s="72"/>
      <c r="F553" s="72"/>
    </row>
    <row r="554" spans="3:6" ht="19.5">
      <c r="C554" s="72"/>
      <c r="D554" s="72"/>
      <c r="E554" s="72"/>
      <c r="F554" s="72"/>
    </row>
    <row r="555" spans="3:6" ht="19.5">
      <c r="C555" s="72"/>
      <c r="D555" s="72"/>
      <c r="E555" s="72"/>
      <c r="F555" s="72"/>
    </row>
    <row r="556" spans="3:6" ht="19.5">
      <c r="C556" s="72"/>
      <c r="D556" s="72"/>
      <c r="E556" s="72"/>
      <c r="F556" s="72"/>
    </row>
    <row r="557" spans="3:6" ht="19.5">
      <c r="C557" s="72"/>
      <c r="D557" s="72"/>
      <c r="E557" s="72"/>
      <c r="F557" s="72"/>
    </row>
    <row r="558" spans="3:6" ht="19.5">
      <c r="C558" s="72"/>
      <c r="D558" s="72"/>
      <c r="E558" s="72"/>
      <c r="F558" s="72"/>
    </row>
    <row r="559" spans="3:6" ht="19.5">
      <c r="C559" s="72"/>
      <c r="D559" s="72"/>
      <c r="E559" s="72"/>
      <c r="F559" s="72"/>
    </row>
    <row r="560" spans="3:6" ht="19.5">
      <c r="C560" s="72"/>
      <c r="D560" s="72"/>
      <c r="E560" s="72"/>
      <c r="F560" s="72"/>
    </row>
    <row r="561" spans="3:6" ht="19.5">
      <c r="C561" s="72"/>
      <c r="D561" s="72"/>
      <c r="E561" s="72"/>
      <c r="F561" s="72"/>
    </row>
    <row r="562" spans="3:6" ht="19.5">
      <c r="C562" s="72"/>
      <c r="D562" s="72"/>
      <c r="E562" s="72"/>
      <c r="F562" s="72"/>
    </row>
    <row r="563" spans="3:6" ht="19.5">
      <c r="C563" s="72"/>
      <c r="D563" s="72"/>
      <c r="E563" s="72"/>
      <c r="F563" s="72"/>
    </row>
    <row r="564" spans="3:6" ht="19.5">
      <c r="C564" s="72"/>
      <c r="D564" s="72"/>
      <c r="E564" s="72"/>
      <c r="F564" s="72"/>
    </row>
    <row r="565" spans="3:6" ht="19.5">
      <c r="C565" s="72"/>
      <c r="D565" s="72"/>
      <c r="E565" s="72"/>
      <c r="F565" s="72"/>
    </row>
    <row r="566" spans="3:6" ht="19.5">
      <c r="C566" s="72"/>
      <c r="D566" s="72"/>
      <c r="E566" s="72"/>
      <c r="F566" s="72"/>
    </row>
    <row r="567" spans="3:6" ht="19.5">
      <c r="C567" s="72"/>
      <c r="D567" s="72"/>
      <c r="E567" s="72"/>
      <c r="F567" s="72"/>
    </row>
    <row r="568" spans="3:6" ht="19.5">
      <c r="C568" s="72"/>
      <c r="D568" s="72"/>
      <c r="E568" s="72"/>
      <c r="F568" s="72"/>
    </row>
    <row r="569" spans="3:6" ht="19.5">
      <c r="C569" s="72"/>
      <c r="D569" s="72"/>
      <c r="E569" s="72"/>
      <c r="F569" s="72"/>
    </row>
    <row r="570" spans="3:6" ht="19.5">
      <c r="C570" s="72"/>
      <c r="D570" s="72"/>
      <c r="E570" s="72"/>
      <c r="F570" s="72"/>
    </row>
    <row r="571" spans="3:6" ht="19.5">
      <c r="C571" s="72"/>
      <c r="D571" s="72"/>
      <c r="E571" s="72"/>
      <c r="F571" s="72"/>
    </row>
    <row r="572" spans="3:6" ht="19.5">
      <c r="C572" s="72"/>
      <c r="D572" s="72"/>
      <c r="E572" s="72"/>
      <c r="F572" s="72"/>
    </row>
    <row r="573" spans="3:6" ht="19.5">
      <c r="C573" s="72"/>
      <c r="D573" s="72"/>
      <c r="E573" s="72"/>
      <c r="F573" s="72"/>
    </row>
    <row r="574" spans="3:6" ht="19.5">
      <c r="C574" s="72"/>
      <c r="D574" s="72"/>
      <c r="E574" s="72"/>
      <c r="F574" s="72"/>
    </row>
    <row r="575" spans="3:6" ht="19.5">
      <c r="C575" s="72"/>
      <c r="D575" s="72"/>
      <c r="E575" s="72"/>
      <c r="F575" s="72"/>
    </row>
    <row r="576" spans="3:6" ht="19.5">
      <c r="C576" s="72"/>
      <c r="D576" s="72"/>
      <c r="E576" s="72"/>
      <c r="F576" s="72"/>
    </row>
    <row r="577" spans="3:6" ht="19.5">
      <c r="C577" s="72"/>
      <c r="D577" s="72"/>
      <c r="E577" s="72"/>
      <c r="F577" s="72"/>
    </row>
    <row r="578" spans="3:6" ht="19.5">
      <c r="C578" s="72"/>
      <c r="D578" s="72"/>
      <c r="E578" s="72"/>
      <c r="F578" s="72"/>
    </row>
    <row r="579" spans="3:6" ht="19.5">
      <c r="C579" s="72"/>
      <c r="D579" s="72"/>
      <c r="E579" s="72"/>
      <c r="F579" s="72"/>
    </row>
    <row r="580" spans="3:6" ht="19.5">
      <c r="C580" s="72"/>
      <c r="D580" s="72"/>
      <c r="E580" s="72"/>
      <c r="F580" s="72"/>
    </row>
    <row r="581" spans="3:6" ht="19.5">
      <c r="C581" s="72"/>
      <c r="D581" s="72"/>
      <c r="E581" s="72"/>
      <c r="F581" s="72"/>
    </row>
    <row r="582" spans="3:6" ht="19.5">
      <c r="C582" s="72"/>
      <c r="D582" s="72"/>
      <c r="E582" s="72"/>
      <c r="F582" s="72"/>
    </row>
    <row r="583" spans="3:6" ht="19.5">
      <c r="C583" s="72"/>
      <c r="D583" s="72"/>
      <c r="E583" s="72"/>
      <c r="F583" s="72"/>
    </row>
    <row r="584" spans="3:6" ht="19.5">
      <c r="C584" s="72"/>
      <c r="D584" s="72"/>
      <c r="E584" s="72"/>
      <c r="F584" s="72"/>
    </row>
    <row r="585" spans="3:6" ht="19.5">
      <c r="C585" s="72"/>
      <c r="D585" s="72"/>
      <c r="E585" s="72"/>
      <c r="F585" s="72"/>
    </row>
    <row r="586" spans="3:6" ht="19.5">
      <c r="C586" s="72"/>
      <c r="D586" s="72"/>
      <c r="E586" s="72"/>
      <c r="F586" s="72"/>
    </row>
    <row r="587" spans="3:6" ht="19.5">
      <c r="C587" s="72"/>
      <c r="D587" s="72"/>
      <c r="E587" s="72"/>
      <c r="F587" s="72"/>
    </row>
    <row r="588" spans="3:6" ht="19.5">
      <c r="C588" s="72"/>
      <c r="D588" s="72"/>
      <c r="E588" s="72"/>
      <c r="F588" s="72"/>
    </row>
    <row r="589" spans="3:6" ht="19.5">
      <c r="C589" s="72"/>
      <c r="D589" s="72"/>
      <c r="E589" s="72"/>
      <c r="F589" s="72"/>
    </row>
    <row r="590" spans="3:6" ht="19.5">
      <c r="C590" s="72"/>
      <c r="D590" s="72"/>
      <c r="E590" s="72"/>
      <c r="F590" s="72"/>
    </row>
    <row r="591" spans="3:6" ht="19.5">
      <c r="C591" s="72"/>
      <c r="D591" s="72"/>
      <c r="E591" s="72"/>
      <c r="F591" s="72"/>
    </row>
    <row r="592" spans="3:6" ht="19.5">
      <c r="C592" s="72"/>
      <c r="D592" s="72"/>
      <c r="E592" s="72"/>
      <c r="F592" s="72"/>
    </row>
    <row r="593" spans="3:6" ht="19.5">
      <c r="C593" s="72"/>
      <c r="D593" s="72"/>
      <c r="E593" s="72"/>
      <c r="F593" s="72"/>
    </row>
    <row r="594" spans="3:6" ht="19.5">
      <c r="C594" s="72"/>
      <c r="D594" s="72"/>
      <c r="E594" s="72"/>
      <c r="F594" s="72"/>
    </row>
    <row r="595" spans="3:6" ht="19.5">
      <c r="C595" s="72"/>
      <c r="D595" s="72"/>
      <c r="E595" s="72"/>
      <c r="F595" s="72"/>
    </row>
    <row r="596" spans="3:6" ht="19.5">
      <c r="C596" s="72"/>
      <c r="D596" s="72"/>
      <c r="E596" s="72"/>
      <c r="F596" s="72"/>
    </row>
    <row r="597" spans="3:6" ht="19.5">
      <c r="C597" s="72"/>
      <c r="D597" s="72"/>
      <c r="E597" s="72"/>
      <c r="F597" s="72"/>
    </row>
    <row r="598" spans="3:6" ht="19.5">
      <c r="C598" s="72"/>
      <c r="D598" s="72"/>
      <c r="E598" s="72"/>
      <c r="F598" s="72"/>
    </row>
    <row r="599" spans="3:6" ht="19.5">
      <c r="C599" s="72"/>
      <c r="D599" s="72"/>
      <c r="E599" s="72"/>
      <c r="F599" s="72"/>
    </row>
    <row r="600" spans="3:6" ht="19.5">
      <c r="C600" s="72"/>
      <c r="D600" s="72"/>
      <c r="E600" s="72"/>
      <c r="F600" s="72"/>
    </row>
    <row r="601" spans="3:6" ht="19.5">
      <c r="C601" s="72"/>
      <c r="D601" s="72"/>
      <c r="E601" s="72"/>
      <c r="F601" s="72"/>
    </row>
    <row r="602" spans="3:6" ht="19.5">
      <c r="C602" s="72"/>
      <c r="D602" s="72"/>
      <c r="E602" s="72"/>
      <c r="F602" s="72"/>
    </row>
    <row r="603" spans="3:6" ht="19.5">
      <c r="C603" s="72"/>
      <c r="D603" s="72"/>
      <c r="E603" s="72"/>
      <c r="F603" s="72"/>
    </row>
    <row r="604" spans="3:6" ht="19.5">
      <c r="C604" s="72"/>
      <c r="D604" s="72"/>
      <c r="E604" s="72"/>
      <c r="F604" s="72"/>
    </row>
    <row r="605" spans="3:6" ht="19.5">
      <c r="C605" s="72"/>
      <c r="D605" s="72"/>
      <c r="E605" s="72"/>
      <c r="F605" s="72"/>
    </row>
    <row r="606" spans="3:6" ht="19.5">
      <c r="C606" s="72"/>
      <c r="D606" s="72"/>
      <c r="E606" s="72"/>
      <c r="F606" s="72"/>
    </row>
    <row r="607" spans="3:6" ht="19.5">
      <c r="C607" s="72"/>
      <c r="D607" s="72"/>
      <c r="E607" s="72"/>
      <c r="F607" s="72"/>
    </row>
    <row r="608" spans="3:6" ht="19.5">
      <c r="C608" s="72"/>
      <c r="D608" s="72"/>
      <c r="E608" s="72"/>
      <c r="F608" s="72"/>
    </row>
    <row r="609" spans="3:6" ht="19.5">
      <c r="C609" s="72"/>
      <c r="D609" s="72"/>
      <c r="E609" s="72"/>
      <c r="F609" s="72"/>
    </row>
    <row r="610" spans="3:6" ht="19.5">
      <c r="C610" s="72"/>
      <c r="D610" s="72"/>
      <c r="E610" s="72"/>
      <c r="F610" s="72"/>
    </row>
    <row r="611" spans="3:6" ht="19.5">
      <c r="C611" s="72"/>
      <c r="D611" s="72"/>
      <c r="E611" s="72"/>
      <c r="F611" s="72"/>
    </row>
    <row r="612" spans="3:6" ht="19.5">
      <c r="C612" s="72"/>
      <c r="D612" s="72"/>
      <c r="E612" s="72"/>
      <c r="F612" s="72"/>
    </row>
    <row r="613" spans="3:6" ht="19.5">
      <c r="C613" s="72"/>
      <c r="D613" s="72"/>
      <c r="E613" s="72"/>
      <c r="F613" s="72"/>
    </row>
    <row r="614" spans="3:6" ht="19.5">
      <c r="C614" s="72"/>
      <c r="D614" s="72"/>
      <c r="E614" s="72"/>
      <c r="F614" s="72"/>
    </row>
    <row r="615" spans="3:6" ht="19.5">
      <c r="C615" s="72"/>
      <c r="D615" s="72"/>
      <c r="E615" s="72"/>
      <c r="F615" s="72"/>
    </row>
    <row r="616" spans="3:6" ht="19.5">
      <c r="C616" s="72"/>
      <c r="D616" s="72"/>
      <c r="E616" s="72"/>
      <c r="F616" s="72"/>
    </row>
    <row r="617" spans="3:6" ht="19.5">
      <c r="C617" s="72"/>
      <c r="D617" s="72"/>
      <c r="E617" s="72"/>
      <c r="F617" s="72"/>
    </row>
    <row r="618" spans="3:6" ht="19.5">
      <c r="C618" s="72"/>
      <c r="D618" s="72"/>
      <c r="E618" s="72"/>
      <c r="F618" s="72"/>
    </row>
    <row r="619" spans="3:6" ht="19.5">
      <c r="C619" s="72"/>
      <c r="D619" s="72"/>
      <c r="E619" s="72"/>
      <c r="F619" s="72"/>
    </row>
    <row r="620" spans="3:6" ht="19.5">
      <c r="C620" s="72"/>
      <c r="D620" s="72"/>
      <c r="E620" s="72"/>
      <c r="F620" s="72"/>
    </row>
    <row r="621" spans="3:6" ht="19.5">
      <c r="C621" s="72"/>
      <c r="D621" s="72"/>
      <c r="E621" s="72"/>
      <c r="F621" s="72"/>
    </row>
    <row r="622" spans="3:6" ht="19.5">
      <c r="C622" s="72"/>
      <c r="D622" s="72"/>
      <c r="E622" s="72"/>
      <c r="F622" s="72"/>
    </row>
    <row r="623" spans="3:6" ht="19.5">
      <c r="C623" s="72"/>
      <c r="D623" s="72"/>
      <c r="E623" s="72"/>
      <c r="F623" s="72"/>
    </row>
    <row r="624" spans="3:6" ht="19.5">
      <c r="C624" s="72"/>
      <c r="D624" s="72"/>
      <c r="E624" s="72"/>
      <c r="F624" s="72"/>
    </row>
    <row r="625" spans="3:6" ht="19.5">
      <c r="C625" s="72"/>
      <c r="D625" s="72"/>
      <c r="E625" s="72"/>
      <c r="F625" s="72"/>
    </row>
    <row r="626" spans="3:6" ht="19.5">
      <c r="C626" s="72"/>
      <c r="D626" s="72"/>
      <c r="E626" s="72"/>
      <c r="F626" s="72"/>
    </row>
    <row r="627" spans="3:6" ht="19.5">
      <c r="C627" s="72"/>
      <c r="D627" s="72"/>
      <c r="E627" s="72"/>
      <c r="F627" s="72"/>
    </row>
    <row r="628" spans="3:6" ht="19.5">
      <c r="C628" s="72"/>
      <c r="D628" s="72"/>
      <c r="E628" s="72"/>
      <c r="F628" s="72"/>
    </row>
    <row r="629" spans="3:6" ht="19.5">
      <c r="C629" s="72"/>
      <c r="D629" s="72"/>
      <c r="E629" s="72"/>
      <c r="F629" s="72"/>
    </row>
    <row r="630" spans="3:6" ht="19.5">
      <c r="C630" s="72"/>
      <c r="D630" s="72"/>
      <c r="E630" s="72"/>
      <c r="F630" s="72"/>
    </row>
    <row r="631" spans="3:6" ht="19.5">
      <c r="C631" s="72"/>
      <c r="D631" s="72"/>
      <c r="E631" s="72"/>
      <c r="F631" s="72"/>
    </row>
    <row r="632" spans="3:6" ht="19.5">
      <c r="C632" s="72"/>
      <c r="D632" s="72"/>
      <c r="E632" s="72"/>
      <c r="F632" s="72"/>
    </row>
    <row r="633" spans="3:6" ht="19.5">
      <c r="C633" s="72"/>
      <c r="D633" s="72"/>
      <c r="E633" s="72"/>
      <c r="F633" s="72"/>
    </row>
    <row r="634" spans="3:6" ht="19.5">
      <c r="C634" s="72"/>
      <c r="D634" s="72"/>
      <c r="E634" s="72"/>
      <c r="F634" s="72"/>
    </row>
    <row r="635" spans="3:6" ht="19.5">
      <c r="C635" s="72"/>
      <c r="D635" s="72"/>
      <c r="E635" s="72"/>
      <c r="F635" s="72"/>
    </row>
    <row r="636" spans="3:6" ht="19.5">
      <c r="C636" s="72"/>
      <c r="D636" s="72"/>
      <c r="E636" s="72"/>
      <c r="F636" s="72"/>
    </row>
    <row r="637" spans="3:6" ht="19.5">
      <c r="C637" s="72"/>
      <c r="D637" s="72"/>
      <c r="E637" s="72"/>
      <c r="F637" s="72"/>
    </row>
    <row r="638" spans="3:6" ht="19.5">
      <c r="C638" s="72"/>
      <c r="D638" s="72"/>
      <c r="E638" s="72"/>
      <c r="F638" s="72"/>
    </row>
    <row r="639" spans="3:6" ht="19.5">
      <c r="C639" s="72"/>
      <c r="D639" s="72"/>
      <c r="E639" s="72"/>
      <c r="F639" s="72"/>
    </row>
    <row r="640" spans="3:6" ht="19.5">
      <c r="C640" s="72"/>
      <c r="D640" s="72"/>
      <c r="E640" s="72"/>
      <c r="F640" s="72"/>
    </row>
    <row r="641" spans="3:6" ht="19.5">
      <c r="C641" s="72"/>
      <c r="D641" s="72"/>
      <c r="E641" s="72"/>
      <c r="F641" s="72"/>
    </row>
    <row r="642" spans="3:6" ht="19.5">
      <c r="C642" s="72"/>
      <c r="D642" s="72"/>
      <c r="E642" s="72"/>
      <c r="F642" s="72"/>
    </row>
    <row r="643" spans="3:6" ht="19.5">
      <c r="C643" s="72"/>
      <c r="D643" s="72"/>
      <c r="E643" s="72"/>
      <c r="F643" s="72"/>
    </row>
    <row r="644" spans="3:6" ht="19.5">
      <c r="C644" s="72"/>
      <c r="D644" s="72"/>
      <c r="E644" s="72"/>
      <c r="F644" s="72"/>
    </row>
    <row r="645" spans="3:6" ht="19.5">
      <c r="C645" s="72"/>
      <c r="D645" s="72"/>
      <c r="E645" s="72"/>
      <c r="F645" s="72"/>
    </row>
    <row r="646" spans="3:6" ht="19.5">
      <c r="C646" s="72"/>
      <c r="D646" s="72"/>
      <c r="E646" s="72"/>
      <c r="F646" s="72"/>
    </row>
    <row r="647" spans="3:6" ht="19.5">
      <c r="C647" s="72"/>
      <c r="D647" s="72"/>
      <c r="E647" s="72"/>
      <c r="F647" s="72"/>
    </row>
    <row r="648" spans="3:6" ht="19.5">
      <c r="C648" s="72"/>
      <c r="D648" s="72"/>
      <c r="E648" s="72"/>
      <c r="F648" s="72"/>
    </row>
    <row r="649" spans="3:6" ht="19.5">
      <c r="C649" s="72"/>
      <c r="D649" s="72"/>
      <c r="E649" s="72"/>
      <c r="F649" s="72"/>
    </row>
    <row r="650" spans="3:6" ht="19.5">
      <c r="C650" s="72"/>
      <c r="D650" s="72"/>
      <c r="E650" s="72"/>
      <c r="F650" s="72"/>
    </row>
    <row r="651" spans="3:6" ht="19.5">
      <c r="C651" s="72"/>
      <c r="D651" s="72"/>
      <c r="E651" s="72"/>
      <c r="F651" s="72"/>
    </row>
    <row r="652" spans="3:6" ht="19.5">
      <c r="C652" s="72"/>
      <c r="D652" s="72"/>
      <c r="E652" s="72"/>
      <c r="F652" s="72"/>
    </row>
    <row r="653" spans="3:6" ht="19.5">
      <c r="C653" s="72"/>
      <c r="D653" s="72"/>
      <c r="E653" s="72"/>
      <c r="F653" s="72"/>
    </row>
    <row r="654" spans="3:6" ht="19.5">
      <c r="C654" s="72"/>
      <c r="D654" s="72"/>
      <c r="E654" s="72"/>
      <c r="F654" s="72"/>
    </row>
    <row r="655" spans="3:6" ht="19.5">
      <c r="C655" s="72"/>
      <c r="D655" s="72"/>
      <c r="E655" s="72"/>
      <c r="F655" s="72"/>
    </row>
    <row r="656" spans="3:6" ht="19.5">
      <c r="C656" s="72"/>
      <c r="D656" s="72"/>
      <c r="E656" s="72"/>
      <c r="F656" s="72"/>
    </row>
    <row r="657" spans="3:6" ht="19.5">
      <c r="C657" s="72"/>
      <c r="D657" s="72"/>
      <c r="E657" s="72"/>
      <c r="F657" s="72"/>
    </row>
    <row r="658" spans="3:6" ht="19.5">
      <c r="C658" s="72"/>
      <c r="D658" s="72"/>
      <c r="E658" s="72"/>
      <c r="F658" s="72"/>
    </row>
    <row r="659" spans="3:6" ht="19.5">
      <c r="C659" s="72"/>
      <c r="D659" s="72"/>
      <c r="E659" s="72"/>
      <c r="F659" s="72"/>
    </row>
    <row r="660" spans="3:6" ht="19.5">
      <c r="C660" s="72"/>
      <c r="D660" s="72"/>
      <c r="E660" s="72"/>
      <c r="F660" s="72"/>
    </row>
    <row r="661" spans="3:6" ht="19.5">
      <c r="C661" s="72"/>
      <c r="D661" s="72"/>
      <c r="E661" s="72"/>
      <c r="F661" s="72"/>
    </row>
    <row r="662" spans="3:6" ht="19.5">
      <c r="C662" s="72"/>
      <c r="D662" s="72"/>
      <c r="E662" s="72"/>
      <c r="F662" s="72"/>
    </row>
    <row r="663" spans="3:6" ht="19.5">
      <c r="C663" s="72"/>
      <c r="D663" s="72"/>
      <c r="E663" s="72"/>
      <c r="F663" s="72"/>
    </row>
    <row r="664" spans="3:6" ht="19.5">
      <c r="C664" s="72"/>
      <c r="D664" s="72"/>
      <c r="E664" s="72"/>
      <c r="F664" s="72"/>
    </row>
    <row r="665" spans="3:6" ht="19.5">
      <c r="C665" s="72"/>
      <c r="D665" s="72"/>
      <c r="E665" s="72"/>
      <c r="F665" s="72"/>
    </row>
    <row r="666" spans="3:6" ht="19.5">
      <c r="C666" s="72"/>
      <c r="D666" s="72"/>
      <c r="E666" s="72"/>
      <c r="F666" s="72"/>
    </row>
    <row r="667" spans="3:6" ht="19.5">
      <c r="C667" s="72"/>
      <c r="D667" s="72"/>
      <c r="E667" s="72"/>
      <c r="F667" s="72"/>
    </row>
    <row r="668" spans="3:6" ht="19.5">
      <c r="C668" s="72"/>
      <c r="D668" s="72"/>
      <c r="E668" s="72"/>
      <c r="F668" s="72"/>
    </row>
    <row r="669" spans="3:6" ht="19.5">
      <c r="C669" s="72"/>
      <c r="D669" s="72"/>
      <c r="E669" s="72"/>
      <c r="F669" s="72"/>
    </row>
    <row r="670" spans="3:6" ht="19.5">
      <c r="C670" s="72"/>
      <c r="D670" s="72"/>
      <c r="E670" s="72"/>
      <c r="F670" s="72"/>
    </row>
    <row r="671" spans="3:6" ht="19.5">
      <c r="C671" s="72"/>
      <c r="D671" s="72"/>
      <c r="E671" s="72"/>
      <c r="F671" s="72"/>
    </row>
    <row r="672" spans="3:6" ht="19.5">
      <c r="C672" s="72"/>
      <c r="D672" s="72"/>
      <c r="E672" s="72"/>
      <c r="F672" s="72"/>
    </row>
    <row r="673" spans="3:6" ht="19.5">
      <c r="C673" s="72"/>
      <c r="D673" s="72"/>
      <c r="E673" s="72"/>
      <c r="F673" s="72"/>
    </row>
    <row r="674" spans="3:6" ht="19.5">
      <c r="C674" s="72"/>
      <c r="D674" s="72"/>
      <c r="E674" s="72"/>
      <c r="F674" s="72"/>
    </row>
    <row r="675" spans="3:6" ht="19.5">
      <c r="C675" s="72"/>
      <c r="D675" s="72"/>
      <c r="E675" s="72"/>
      <c r="F675" s="72"/>
    </row>
    <row r="676" spans="3:6" ht="19.5">
      <c r="C676" s="72"/>
      <c r="D676" s="72"/>
      <c r="E676" s="72"/>
      <c r="F676" s="72"/>
    </row>
    <row r="677" spans="3:6" ht="19.5">
      <c r="C677" s="72"/>
      <c r="D677" s="72"/>
      <c r="E677" s="72"/>
      <c r="F677" s="72"/>
    </row>
    <row r="678" spans="3:6" ht="19.5">
      <c r="C678" s="72"/>
      <c r="D678" s="72"/>
      <c r="E678" s="72"/>
      <c r="F678" s="72"/>
    </row>
    <row r="679" spans="3:6" ht="19.5">
      <c r="C679" s="72"/>
      <c r="D679" s="72"/>
      <c r="E679" s="72"/>
      <c r="F679" s="72"/>
    </row>
    <row r="680" spans="3:6" ht="19.5">
      <c r="C680" s="72"/>
      <c r="D680" s="72"/>
      <c r="E680" s="72"/>
      <c r="F680" s="72"/>
    </row>
    <row r="681" spans="3:6" ht="19.5">
      <c r="C681" s="72"/>
      <c r="D681" s="72"/>
      <c r="E681" s="72"/>
      <c r="F681" s="72"/>
    </row>
    <row r="682" spans="3:6" ht="19.5">
      <c r="C682" s="72"/>
      <c r="D682" s="72"/>
      <c r="E682" s="72"/>
      <c r="F682" s="72"/>
    </row>
    <row r="683" spans="3:6" ht="19.5">
      <c r="C683" s="72"/>
      <c r="D683" s="72"/>
      <c r="E683" s="72"/>
      <c r="F683" s="72"/>
    </row>
    <row r="684" spans="3:6" ht="19.5">
      <c r="C684" s="72"/>
      <c r="D684" s="72"/>
      <c r="E684" s="72"/>
      <c r="F684" s="72"/>
    </row>
    <row r="685" spans="3:6" ht="19.5">
      <c r="C685" s="72"/>
      <c r="D685" s="72"/>
      <c r="E685" s="72"/>
      <c r="F685" s="72"/>
    </row>
    <row r="686" spans="3:6" ht="19.5">
      <c r="C686" s="72"/>
      <c r="D686" s="72"/>
      <c r="E686" s="72"/>
      <c r="F686" s="72"/>
    </row>
    <row r="687" spans="3:6" ht="19.5">
      <c r="C687" s="72"/>
      <c r="D687" s="72"/>
      <c r="E687" s="72"/>
      <c r="F687" s="72"/>
    </row>
    <row r="688" spans="3:6" ht="19.5">
      <c r="C688" s="72"/>
      <c r="D688" s="72"/>
      <c r="E688" s="72"/>
      <c r="F688" s="72"/>
    </row>
    <row r="689" spans="3:6" ht="19.5">
      <c r="C689" s="72"/>
      <c r="D689" s="72"/>
      <c r="E689" s="72"/>
      <c r="F689" s="72"/>
    </row>
    <row r="690" spans="3:6" ht="19.5">
      <c r="C690" s="72"/>
      <c r="D690" s="72"/>
      <c r="E690" s="72"/>
      <c r="F690" s="72"/>
    </row>
    <row r="691" spans="3:6" ht="19.5">
      <c r="C691" s="72"/>
      <c r="D691" s="72"/>
      <c r="E691" s="72"/>
      <c r="F691" s="72"/>
    </row>
    <row r="692" spans="3:6" ht="19.5">
      <c r="C692" s="72"/>
      <c r="D692" s="72"/>
      <c r="E692" s="72"/>
      <c r="F692" s="72"/>
    </row>
    <row r="693" spans="3:6" ht="19.5">
      <c r="C693" s="72"/>
      <c r="D693" s="72"/>
      <c r="E693" s="72"/>
      <c r="F693" s="72"/>
    </row>
    <row r="694" spans="3:6" ht="19.5">
      <c r="C694" s="72"/>
      <c r="D694" s="72"/>
      <c r="E694" s="72"/>
      <c r="F694" s="72"/>
    </row>
    <row r="695" spans="3:6" ht="19.5">
      <c r="C695" s="72"/>
      <c r="D695" s="72"/>
      <c r="E695" s="72"/>
      <c r="F695" s="72"/>
    </row>
    <row r="696" spans="3:6" ht="19.5">
      <c r="C696" s="72"/>
      <c r="D696" s="72"/>
      <c r="E696" s="72"/>
      <c r="F696" s="72"/>
    </row>
    <row r="697" spans="3:6" ht="19.5">
      <c r="C697" s="72"/>
      <c r="D697" s="72"/>
      <c r="E697" s="72"/>
      <c r="F697" s="72"/>
    </row>
    <row r="698" spans="3:6" ht="19.5">
      <c r="C698" s="72"/>
      <c r="D698" s="72"/>
      <c r="E698" s="72"/>
      <c r="F698" s="72"/>
    </row>
    <row r="699" spans="3:6" ht="19.5">
      <c r="C699" s="72"/>
      <c r="D699" s="72"/>
      <c r="E699" s="72"/>
      <c r="F699" s="72"/>
    </row>
    <row r="700" spans="3:6" ht="19.5">
      <c r="C700" s="72"/>
      <c r="D700" s="72"/>
      <c r="E700" s="72"/>
      <c r="F700" s="72"/>
    </row>
    <row r="701" spans="3:6" ht="19.5">
      <c r="C701" s="72"/>
      <c r="D701" s="72"/>
      <c r="E701" s="72"/>
      <c r="F701" s="72"/>
    </row>
    <row r="702" spans="3:6" ht="19.5">
      <c r="C702" s="72"/>
      <c r="D702" s="72"/>
      <c r="E702" s="72"/>
      <c r="F702" s="72"/>
    </row>
    <row r="703" spans="3:6" ht="19.5">
      <c r="C703" s="72"/>
      <c r="D703" s="72"/>
      <c r="E703" s="72"/>
      <c r="F703" s="72"/>
    </row>
    <row r="704" spans="3:6" ht="19.5">
      <c r="C704" s="72"/>
      <c r="D704" s="72"/>
      <c r="E704" s="72"/>
      <c r="F704" s="72"/>
    </row>
    <row r="705" spans="3:6" ht="19.5">
      <c r="C705" s="72"/>
      <c r="D705" s="72"/>
      <c r="E705" s="72"/>
      <c r="F705" s="72"/>
    </row>
    <row r="706" spans="3:6" ht="19.5">
      <c r="C706" s="72"/>
      <c r="D706" s="72"/>
      <c r="E706" s="72"/>
      <c r="F706" s="72"/>
    </row>
    <row r="707" spans="3:6" ht="19.5">
      <c r="C707" s="72"/>
      <c r="D707" s="72"/>
      <c r="E707" s="72"/>
      <c r="F707" s="72"/>
    </row>
    <row r="708" spans="3:6" ht="19.5">
      <c r="C708" s="72"/>
      <c r="D708" s="72"/>
      <c r="E708" s="72"/>
      <c r="F708" s="72"/>
    </row>
    <row r="709" spans="3:6" ht="19.5">
      <c r="C709" s="72"/>
      <c r="D709" s="72"/>
      <c r="E709" s="72"/>
      <c r="F709" s="72"/>
    </row>
    <row r="710" spans="3:6" ht="19.5">
      <c r="C710" s="72"/>
      <c r="D710" s="72"/>
      <c r="E710" s="72"/>
      <c r="F710" s="72"/>
    </row>
    <row r="711" spans="3:6" ht="19.5">
      <c r="C711" s="72"/>
      <c r="D711" s="72"/>
      <c r="E711" s="72"/>
      <c r="F711" s="72"/>
    </row>
    <row r="712" spans="3:6" ht="19.5">
      <c r="C712" s="72"/>
      <c r="D712" s="72"/>
      <c r="E712" s="72"/>
      <c r="F712" s="72"/>
    </row>
    <row r="713" spans="3:6" ht="19.5">
      <c r="C713" s="72"/>
      <c r="D713" s="72"/>
      <c r="E713" s="72"/>
      <c r="F713" s="72"/>
    </row>
    <row r="714" spans="3:6" ht="19.5">
      <c r="C714" s="72"/>
      <c r="D714" s="72"/>
      <c r="E714" s="72"/>
      <c r="F714" s="72"/>
    </row>
    <row r="715" spans="3:6" ht="19.5">
      <c r="C715" s="72"/>
      <c r="D715" s="72"/>
      <c r="E715" s="72"/>
      <c r="F715" s="72"/>
    </row>
    <row r="716" spans="3:6" ht="19.5">
      <c r="C716" s="72"/>
      <c r="D716" s="72"/>
      <c r="E716" s="72"/>
      <c r="F716" s="72"/>
    </row>
    <row r="717" spans="3:6" ht="19.5">
      <c r="C717" s="72"/>
      <c r="D717" s="72"/>
      <c r="E717" s="72"/>
      <c r="F717" s="72"/>
    </row>
    <row r="718" spans="3:6" ht="19.5">
      <c r="C718" s="72"/>
      <c r="D718" s="72"/>
      <c r="E718" s="72"/>
      <c r="F718" s="72"/>
    </row>
    <row r="719" spans="3:6" ht="19.5">
      <c r="C719" s="72"/>
      <c r="D719" s="72"/>
      <c r="E719" s="72"/>
      <c r="F719" s="72"/>
    </row>
    <row r="720" spans="3:6" ht="19.5">
      <c r="C720" s="72"/>
      <c r="D720" s="72"/>
      <c r="E720" s="72"/>
      <c r="F720" s="72"/>
    </row>
    <row r="721" spans="3:6" ht="19.5">
      <c r="C721" s="72"/>
      <c r="D721" s="72"/>
      <c r="E721" s="72"/>
      <c r="F721" s="72"/>
    </row>
    <row r="722" spans="3:6" ht="19.5">
      <c r="C722" s="72"/>
      <c r="D722" s="72"/>
      <c r="E722" s="72"/>
      <c r="F722" s="72"/>
    </row>
    <row r="723" spans="3:6" ht="19.5">
      <c r="C723" s="72"/>
      <c r="D723" s="72"/>
      <c r="E723" s="72"/>
      <c r="F723" s="72"/>
    </row>
    <row r="724" spans="3:6" ht="19.5">
      <c r="C724" s="72"/>
      <c r="D724" s="72"/>
      <c r="E724" s="72"/>
      <c r="F724" s="72"/>
    </row>
    <row r="725" spans="3:6" ht="19.5">
      <c r="C725" s="72"/>
      <c r="D725" s="72"/>
      <c r="E725" s="72"/>
      <c r="F725" s="72"/>
    </row>
    <row r="726" spans="3:6" ht="19.5">
      <c r="C726" s="72"/>
      <c r="D726" s="72"/>
      <c r="E726" s="72"/>
      <c r="F726" s="72"/>
    </row>
    <row r="727" spans="3:6" ht="19.5">
      <c r="C727" s="72"/>
      <c r="D727" s="72"/>
      <c r="E727" s="72"/>
      <c r="F727" s="72"/>
    </row>
    <row r="728" spans="3:6" ht="19.5">
      <c r="C728" s="72"/>
      <c r="D728" s="72"/>
      <c r="E728" s="72"/>
      <c r="F728" s="72"/>
    </row>
    <row r="729" spans="3:6" ht="19.5">
      <c r="C729" s="72"/>
      <c r="D729" s="72"/>
      <c r="E729" s="72"/>
      <c r="F729" s="72"/>
    </row>
    <row r="730" spans="3:6" ht="19.5">
      <c r="C730" s="72"/>
      <c r="D730" s="72"/>
      <c r="E730" s="72"/>
      <c r="F730" s="72"/>
    </row>
    <row r="731" spans="3:6" ht="19.5">
      <c r="C731" s="72"/>
      <c r="D731" s="72"/>
      <c r="E731" s="72"/>
      <c r="F731" s="72"/>
    </row>
    <row r="732" spans="3:6" ht="19.5">
      <c r="C732" s="72"/>
      <c r="D732" s="72"/>
      <c r="E732" s="72"/>
      <c r="F732" s="72"/>
    </row>
    <row r="733" spans="3:6" ht="19.5">
      <c r="C733" s="72"/>
      <c r="D733" s="72"/>
      <c r="E733" s="72"/>
      <c r="F733" s="72"/>
    </row>
    <row r="734" spans="3:6" ht="19.5">
      <c r="C734" s="72"/>
      <c r="D734" s="72"/>
      <c r="E734" s="72"/>
      <c r="F734" s="72"/>
    </row>
    <row r="735" spans="3:6" ht="19.5">
      <c r="C735" s="72"/>
      <c r="D735" s="72"/>
      <c r="E735" s="72"/>
      <c r="F735" s="72"/>
    </row>
    <row r="736" spans="3:6" ht="19.5">
      <c r="C736" s="72"/>
      <c r="D736" s="72"/>
      <c r="E736" s="72"/>
      <c r="F736" s="72"/>
    </row>
    <row r="737" spans="3:6" ht="19.5">
      <c r="C737" s="72"/>
      <c r="D737" s="72"/>
      <c r="E737" s="72"/>
      <c r="F737" s="72"/>
    </row>
    <row r="738" spans="3:6" ht="19.5">
      <c r="C738" s="72"/>
      <c r="D738" s="72"/>
      <c r="E738" s="72"/>
      <c r="F738" s="72"/>
    </row>
    <row r="739" spans="3:6" ht="19.5">
      <c r="C739" s="72"/>
      <c r="D739" s="72"/>
      <c r="E739" s="72"/>
      <c r="F739" s="72"/>
    </row>
    <row r="740" spans="3:6" ht="19.5">
      <c r="C740" s="72"/>
      <c r="D740" s="72"/>
      <c r="E740" s="72"/>
      <c r="F740" s="72"/>
    </row>
    <row r="741" spans="3:6" ht="19.5">
      <c r="C741" s="72"/>
      <c r="D741" s="72"/>
      <c r="E741" s="72"/>
      <c r="F741" s="72"/>
    </row>
    <row r="742" spans="3:6" ht="19.5">
      <c r="C742" s="72"/>
      <c r="D742" s="72"/>
      <c r="E742" s="72"/>
      <c r="F742" s="72"/>
    </row>
    <row r="743" spans="3:6" ht="19.5">
      <c r="C743" s="72"/>
      <c r="D743" s="72"/>
      <c r="E743" s="72"/>
      <c r="F743" s="72"/>
    </row>
    <row r="744" spans="3:6" ht="19.5">
      <c r="C744" s="72"/>
      <c r="D744" s="72"/>
      <c r="E744" s="72"/>
      <c r="F744" s="72"/>
    </row>
    <row r="745" spans="3:6" ht="19.5">
      <c r="C745" s="72"/>
      <c r="D745" s="72"/>
      <c r="E745" s="72"/>
      <c r="F745" s="72"/>
    </row>
    <row r="746" spans="3:6" ht="19.5">
      <c r="C746" s="72"/>
      <c r="D746" s="72"/>
      <c r="E746" s="72"/>
      <c r="F746" s="72"/>
    </row>
    <row r="747" spans="3:6" ht="19.5">
      <c r="C747" s="72"/>
      <c r="D747" s="72"/>
      <c r="E747" s="72"/>
      <c r="F747" s="72"/>
    </row>
    <row r="748" spans="3:6" ht="19.5">
      <c r="C748" s="72"/>
      <c r="D748" s="72"/>
      <c r="E748" s="72"/>
      <c r="F748" s="72"/>
    </row>
    <row r="749" spans="3:6" ht="19.5">
      <c r="C749" s="72"/>
      <c r="D749" s="72"/>
      <c r="E749" s="72"/>
      <c r="F749" s="72"/>
    </row>
    <row r="750" spans="3:6" ht="19.5">
      <c r="C750" s="72"/>
      <c r="D750" s="72"/>
      <c r="E750" s="72"/>
      <c r="F750" s="72"/>
    </row>
    <row r="751" spans="3:6" ht="19.5">
      <c r="C751" s="72"/>
      <c r="D751" s="72"/>
      <c r="E751" s="72"/>
      <c r="F751" s="72"/>
    </row>
    <row r="752" spans="3:6" ht="19.5">
      <c r="C752" s="72"/>
      <c r="D752" s="72"/>
      <c r="E752" s="72"/>
      <c r="F752" s="72"/>
    </row>
    <row r="753" spans="3:6" ht="19.5">
      <c r="C753" s="72"/>
      <c r="D753" s="72"/>
      <c r="E753" s="72"/>
      <c r="F753" s="72"/>
    </row>
    <row r="754" spans="3:6" ht="19.5">
      <c r="C754" s="72"/>
      <c r="D754" s="72"/>
      <c r="E754" s="72"/>
      <c r="F754" s="72"/>
    </row>
    <row r="755" spans="3:6" ht="19.5">
      <c r="C755" s="72"/>
      <c r="D755" s="72"/>
      <c r="E755" s="72"/>
      <c r="F755" s="72"/>
    </row>
    <row r="756" spans="3:6" ht="19.5">
      <c r="C756" s="72"/>
      <c r="D756" s="72"/>
      <c r="E756" s="72"/>
      <c r="F756" s="72"/>
    </row>
    <row r="757" spans="3:6" ht="19.5">
      <c r="C757" s="72"/>
      <c r="D757" s="72"/>
      <c r="E757" s="72"/>
      <c r="F757" s="72"/>
    </row>
    <row r="758" spans="3:6" ht="19.5">
      <c r="C758" s="72"/>
      <c r="D758" s="72"/>
      <c r="E758" s="72"/>
      <c r="F758" s="72"/>
    </row>
    <row r="759" spans="3:6" ht="19.5">
      <c r="C759" s="72"/>
      <c r="D759" s="72"/>
      <c r="E759" s="72"/>
      <c r="F759" s="72"/>
    </row>
    <row r="760" spans="3:6" ht="19.5">
      <c r="C760" s="72"/>
      <c r="D760" s="72"/>
      <c r="E760" s="72"/>
      <c r="F760" s="72"/>
    </row>
    <row r="761" spans="3:6" ht="19.5">
      <c r="C761" s="72"/>
      <c r="D761" s="72"/>
      <c r="E761" s="72"/>
      <c r="F761" s="72"/>
    </row>
    <row r="762" spans="3:6" ht="19.5">
      <c r="C762" s="72"/>
      <c r="D762" s="72"/>
      <c r="E762" s="72"/>
      <c r="F762" s="72"/>
    </row>
    <row r="763" spans="3:6" ht="19.5">
      <c r="C763" s="72"/>
      <c r="D763" s="72"/>
      <c r="E763" s="72"/>
      <c r="F763" s="72"/>
    </row>
    <row r="764" spans="3:6" ht="19.5">
      <c r="C764" s="72"/>
      <c r="D764" s="72"/>
      <c r="E764" s="72"/>
      <c r="F764" s="72"/>
    </row>
    <row r="765" spans="3:6" ht="19.5">
      <c r="C765" s="72"/>
      <c r="D765" s="72"/>
      <c r="E765" s="72"/>
      <c r="F765" s="72"/>
    </row>
    <row r="766" spans="3:6" ht="19.5">
      <c r="C766" s="72"/>
      <c r="D766" s="72"/>
      <c r="E766" s="72"/>
      <c r="F766" s="72"/>
    </row>
    <row r="767" spans="3:6" ht="19.5">
      <c r="C767" s="72"/>
      <c r="D767" s="72"/>
      <c r="E767" s="72"/>
      <c r="F767" s="72"/>
    </row>
    <row r="768" spans="3:6" ht="19.5">
      <c r="C768" s="72"/>
      <c r="D768" s="72"/>
      <c r="E768" s="72"/>
      <c r="F768" s="72"/>
    </row>
    <row r="769" spans="3:6" ht="19.5">
      <c r="C769" s="72"/>
      <c r="D769" s="72"/>
      <c r="E769" s="72"/>
      <c r="F769" s="72"/>
    </row>
    <row r="770" spans="3:6" ht="19.5">
      <c r="C770" s="72"/>
      <c r="D770" s="72"/>
      <c r="E770" s="72"/>
      <c r="F770" s="72"/>
    </row>
    <row r="771" spans="3:6" ht="19.5">
      <c r="C771" s="72"/>
      <c r="D771" s="72"/>
      <c r="E771" s="72"/>
      <c r="F771" s="72"/>
    </row>
    <row r="772" spans="3:6" ht="19.5">
      <c r="C772" s="72"/>
      <c r="D772" s="72"/>
      <c r="E772" s="72"/>
      <c r="F772" s="72"/>
    </row>
    <row r="773" spans="3:6" ht="19.5">
      <c r="C773" s="72"/>
      <c r="D773" s="72"/>
      <c r="E773" s="72"/>
      <c r="F773" s="72"/>
    </row>
    <row r="774" spans="3:6" ht="19.5">
      <c r="C774" s="72"/>
      <c r="D774" s="72"/>
      <c r="E774" s="72"/>
      <c r="F774" s="72"/>
    </row>
    <row r="775" spans="3:6" ht="19.5">
      <c r="C775" s="72"/>
      <c r="D775" s="72"/>
      <c r="E775" s="72"/>
      <c r="F775" s="72"/>
    </row>
    <row r="776" spans="3:6" ht="19.5">
      <c r="C776" s="72"/>
      <c r="D776" s="72"/>
      <c r="E776" s="72"/>
      <c r="F776" s="72"/>
    </row>
    <row r="777" spans="3:6" ht="19.5">
      <c r="C777" s="72"/>
      <c r="D777" s="72"/>
      <c r="E777" s="72"/>
      <c r="F777" s="72"/>
    </row>
    <row r="778" spans="3:6" ht="19.5">
      <c r="C778" s="72"/>
      <c r="D778" s="72"/>
      <c r="E778" s="72"/>
      <c r="F778" s="72"/>
    </row>
    <row r="779" spans="3:6" ht="19.5">
      <c r="C779" s="72"/>
      <c r="D779" s="72"/>
      <c r="E779" s="72"/>
      <c r="F779" s="72"/>
    </row>
    <row r="780" spans="3:6" ht="19.5">
      <c r="C780" s="72"/>
      <c r="D780" s="72"/>
      <c r="E780" s="72"/>
      <c r="F780" s="72"/>
    </row>
    <row r="781" spans="3:6" ht="19.5">
      <c r="C781" s="72"/>
      <c r="D781" s="72"/>
      <c r="E781" s="72"/>
      <c r="F781" s="72"/>
    </row>
    <row r="782" spans="3:6" ht="19.5">
      <c r="C782" s="72"/>
      <c r="D782" s="72"/>
      <c r="E782" s="72"/>
      <c r="F782" s="72"/>
    </row>
    <row r="783" spans="3:6" ht="19.5">
      <c r="C783" s="72"/>
      <c r="D783" s="72"/>
      <c r="E783" s="72"/>
      <c r="F783" s="72"/>
    </row>
    <row r="784" spans="3:6" ht="19.5">
      <c r="C784" s="72"/>
      <c r="D784" s="72"/>
      <c r="E784" s="72"/>
      <c r="F784" s="72"/>
    </row>
    <row r="785" spans="3:6" ht="19.5">
      <c r="C785" s="72"/>
      <c r="D785" s="72"/>
      <c r="E785" s="72"/>
      <c r="F785" s="72"/>
    </row>
    <row r="786" spans="3:6" ht="19.5">
      <c r="C786" s="72"/>
      <c r="D786" s="72"/>
      <c r="E786" s="72"/>
      <c r="F786" s="72"/>
    </row>
    <row r="787" spans="3:6" ht="19.5">
      <c r="C787" s="72"/>
      <c r="D787" s="72"/>
      <c r="E787" s="72"/>
      <c r="F787" s="72"/>
    </row>
    <row r="788" spans="3:6" ht="19.5">
      <c r="C788" s="72"/>
      <c r="D788" s="72"/>
      <c r="E788" s="72"/>
      <c r="F788" s="72"/>
    </row>
    <row r="789" spans="3:6" ht="19.5">
      <c r="C789" s="72"/>
      <c r="D789" s="72"/>
      <c r="E789" s="72"/>
      <c r="F789" s="72"/>
    </row>
    <row r="790" spans="3:6" ht="19.5">
      <c r="C790" s="72"/>
      <c r="D790" s="72"/>
      <c r="E790" s="72"/>
      <c r="F790" s="72"/>
    </row>
    <row r="791" spans="3:6" ht="19.5">
      <c r="C791" s="72"/>
      <c r="D791" s="72"/>
      <c r="E791" s="72"/>
      <c r="F791" s="72"/>
    </row>
    <row r="792" spans="3:6" ht="19.5">
      <c r="C792" s="72"/>
      <c r="D792" s="72"/>
      <c r="E792" s="72"/>
      <c r="F792" s="72"/>
    </row>
    <row r="793" spans="3:6" ht="19.5">
      <c r="C793" s="72"/>
      <c r="D793" s="72"/>
      <c r="E793" s="72"/>
      <c r="F793" s="72"/>
    </row>
    <row r="794" spans="3:6" ht="19.5">
      <c r="C794" s="72"/>
      <c r="D794" s="72"/>
      <c r="E794" s="72"/>
      <c r="F794" s="72"/>
    </row>
    <row r="795" spans="3:6" ht="19.5">
      <c r="C795" s="72"/>
      <c r="D795" s="72"/>
      <c r="E795" s="72"/>
      <c r="F795" s="72"/>
    </row>
    <row r="796" spans="3:6" ht="19.5">
      <c r="C796" s="72"/>
      <c r="D796" s="72"/>
      <c r="E796" s="72"/>
      <c r="F796" s="72"/>
    </row>
    <row r="797" spans="3:6" ht="19.5">
      <c r="C797" s="72"/>
      <c r="D797" s="72"/>
      <c r="E797" s="72"/>
      <c r="F797" s="72"/>
    </row>
    <row r="798" spans="3:6" ht="19.5">
      <c r="C798" s="72"/>
      <c r="D798" s="72"/>
      <c r="E798" s="72"/>
      <c r="F798" s="72"/>
    </row>
    <row r="799" spans="3:6" ht="19.5">
      <c r="C799" s="72"/>
      <c r="D799" s="72"/>
      <c r="E799" s="72"/>
      <c r="F799" s="72"/>
    </row>
    <row r="800" spans="3:6" ht="19.5">
      <c r="C800" s="72"/>
      <c r="D800" s="72"/>
      <c r="E800" s="72"/>
      <c r="F800" s="72"/>
    </row>
    <row r="801" spans="3:6" ht="19.5">
      <c r="C801" s="72"/>
      <c r="D801" s="72"/>
      <c r="E801" s="72"/>
      <c r="F801" s="72"/>
    </row>
    <row r="802" spans="3:6" ht="19.5">
      <c r="C802" s="72"/>
      <c r="D802" s="72"/>
      <c r="E802" s="72"/>
      <c r="F802" s="72"/>
    </row>
    <row r="803" spans="3:6" ht="19.5">
      <c r="C803" s="72"/>
      <c r="D803" s="72"/>
      <c r="E803" s="72"/>
      <c r="F803" s="72"/>
    </row>
    <row r="804" spans="3:6" ht="19.5">
      <c r="C804" s="72"/>
      <c r="D804" s="72"/>
      <c r="E804" s="72"/>
      <c r="F804" s="72"/>
    </row>
    <row r="805" spans="3:6" ht="19.5">
      <c r="C805" s="72"/>
      <c r="D805" s="72"/>
      <c r="E805" s="72"/>
      <c r="F805" s="72"/>
    </row>
    <row r="806" spans="3:6" ht="19.5">
      <c r="C806" s="72"/>
      <c r="D806" s="72"/>
      <c r="E806" s="72"/>
      <c r="F806" s="72"/>
    </row>
    <row r="807" spans="3:6" ht="19.5">
      <c r="C807" s="72"/>
      <c r="D807" s="72"/>
      <c r="E807" s="72"/>
      <c r="F807" s="72"/>
    </row>
    <row r="808" spans="3:6" ht="19.5">
      <c r="C808" s="72"/>
      <c r="D808" s="72"/>
      <c r="E808" s="72"/>
      <c r="F808" s="72"/>
    </row>
    <row r="809" spans="3:6" ht="19.5">
      <c r="C809" s="72"/>
      <c r="D809" s="72"/>
      <c r="E809" s="72"/>
      <c r="F809" s="72"/>
    </row>
    <row r="810" spans="3:6" ht="19.5">
      <c r="C810" s="72"/>
      <c r="D810" s="72"/>
      <c r="E810" s="72"/>
      <c r="F810" s="72"/>
    </row>
    <row r="811" spans="3:6" ht="19.5">
      <c r="C811" s="72"/>
      <c r="D811" s="72"/>
      <c r="E811" s="72"/>
      <c r="F811" s="72"/>
    </row>
    <row r="812" spans="3:6" ht="19.5">
      <c r="C812" s="72"/>
      <c r="D812" s="72"/>
      <c r="E812" s="72"/>
      <c r="F812" s="72"/>
    </row>
    <row r="813" spans="3:6" ht="19.5">
      <c r="C813" s="72"/>
      <c r="D813" s="72"/>
      <c r="E813" s="72"/>
      <c r="F813" s="72"/>
    </row>
    <row r="814" spans="3:6" ht="19.5">
      <c r="C814" s="72"/>
      <c r="D814" s="72"/>
      <c r="E814" s="72"/>
      <c r="F814" s="72"/>
    </row>
    <row r="815" spans="3:6" ht="19.5">
      <c r="C815" s="72"/>
      <c r="D815" s="72"/>
      <c r="E815" s="72"/>
      <c r="F815" s="72"/>
    </row>
    <row r="816" spans="3:6" ht="19.5">
      <c r="C816" s="72"/>
      <c r="D816" s="72"/>
      <c r="E816" s="72"/>
      <c r="F816" s="72"/>
    </row>
    <row r="817" spans="3:6" ht="19.5">
      <c r="C817" s="72"/>
      <c r="D817" s="72"/>
      <c r="E817" s="72"/>
      <c r="F817" s="72"/>
    </row>
    <row r="818" spans="3:6" ht="19.5">
      <c r="C818" s="72"/>
      <c r="D818" s="72"/>
      <c r="E818" s="72"/>
      <c r="F818" s="72"/>
    </row>
    <row r="819" spans="3:6" ht="19.5">
      <c r="C819" s="72"/>
      <c r="D819" s="72"/>
      <c r="E819" s="72"/>
      <c r="F819" s="72"/>
    </row>
    <row r="820" spans="3:6" ht="19.5">
      <c r="C820" s="72"/>
      <c r="D820" s="72"/>
      <c r="E820" s="72"/>
      <c r="F820" s="72"/>
    </row>
    <row r="821" spans="3:6" ht="19.5">
      <c r="C821" s="72"/>
      <c r="D821" s="72"/>
      <c r="E821" s="72"/>
      <c r="F821" s="72"/>
    </row>
    <row r="822" spans="3:6" ht="19.5">
      <c r="C822" s="72"/>
      <c r="D822" s="72"/>
      <c r="E822" s="72"/>
      <c r="F822" s="72"/>
    </row>
    <row r="823" spans="3:6" ht="19.5">
      <c r="C823" s="72"/>
      <c r="D823" s="72"/>
      <c r="E823" s="72"/>
      <c r="F823" s="72"/>
    </row>
    <row r="824" spans="3:6" ht="19.5">
      <c r="C824" s="72"/>
      <c r="D824" s="72"/>
      <c r="E824" s="72"/>
      <c r="F824" s="72"/>
    </row>
    <row r="825" spans="3:6" ht="19.5">
      <c r="C825" s="72"/>
      <c r="D825" s="72"/>
      <c r="E825" s="72"/>
      <c r="F825" s="72"/>
    </row>
    <row r="826" spans="3:6" ht="19.5">
      <c r="C826" s="72"/>
      <c r="D826" s="72"/>
      <c r="E826" s="72"/>
      <c r="F826" s="72"/>
    </row>
    <row r="827" spans="3:6" ht="19.5">
      <c r="C827" s="72"/>
      <c r="D827" s="72"/>
      <c r="E827" s="72"/>
      <c r="F827" s="72"/>
    </row>
    <row r="828" spans="3:6" ht="19.5">
      <c r="C828" s="72"/>
      <c r="D828" s="72"/>
      <c r="E828" s="72"/>
      <c r="F828" s="72"/>
    </row>
    <row r="829" spans="3:6" ht="19.5">
      <c r="C829" s="72"/>
      <c r="D829" s="72"/>
      <c r="E829" s="72"/>
      <c r="F829" s="72"/>
    </row>
    <row r="830" spans="3:6" ht="19.5">
      <c r="C830" s="72"/>
      <c r="D830" s="72"/>
      <c r="E830" s="72"/>
      <c r="F830" s="72"/>
    </row>
    <row r="831" spans="3:6" ht="19.5">
      <c r="C831" s="72"/>
      <c r="D831" s="72"/>
      <c r="E831" s="72"/>
      <c r="F831" s="72"/>
    </row>
    <row r="832" spans="3:6" ht="19.5">
      <c r="C832" s="72"/>
      <c r="D832" s="72"/>
      <c r="E832" s="72"/>
      <c r="F832" s="72"/>
    </row>
    <row r="833" spans="3:6" ht="19.5">
      <c r="C833" s="72"/>
      <c r="D833" s="72"/>
      <c r="E833" s="72"/>
      <c r="F833" s="72"/>
    </row>
    <row r="834" spans="3:6" ht="19.5">
      <c r="C834" s="72"/>
      <c r="D834" s="72"/>
      <c r="E834" s="72"/>
      <c r="F834" s="72"/>
    </row>
    <row r="835" spans="3:6" ht="19.5">
      <c r="C835" s="72"/>
      <c r="D835" s="72"/>
      <c r="E835" s="72"/>
      <c r="F835" s="72"/>
    </row>
    <row r="836" spans="3:6" ht="19.5">
      <c r="C836" s="72"/>
      <c r="D836" s="72"/>
      <c r="E836" s="72"/>
      <c r="F836" s="72"/>
    </row>
    <row r="837" spans="3:6" ht="19.5">
      <c r="C837" s="72"/>
      <c r="D837" s="72"/>
      <c r="E837" s="72"/>
      <c r="F837" s="72"/>
    </row>
    <row r="838" spans="3:6" ht="19.5">
      <c r="C838" s="72"/>
      <c r="D838" s="72"/>
      <c r="E838" s="72"/>
      <c r="F838" s="72"/>
    </row>
    <row r="839" spans="3:6" ht="19.5">
      <c r="C839" s="72"/>
      <c r="D839" s="72"/>
      <c r="E839" s="72"/>
      <c r="F839" s="72"/>
    </row>
    <row r="840" spans="3:6" ht="19.5">
      <c r="C840" s="72"/>
      <c r="D840" s="72"/>
      <c r="E840" s="72"/>
      <c r="F840" s="72"/>
    </row>
    <row r="841" spans="3:6" ht="19.5">
      <c r="C841" s="72"/>
      <c r="D841" s="72"/>
      <c r="E841" s="72"/>
      <c r="F841" s="72"/>
    </row>
    <row r="842" spans="3:6" ht="19.5">
      <c r="C842" s="72"/>
      <c r="D842" s="72"/>
      <c r="E842" s="72"/>
      <c r="F842" s="72"/>
    </row>
    <row r="843" spans="3:6" ht="19.5">
      <c r="C843" s="72"/>
      <c r="D843" s="72"/>
      <c r="E843" s="72"/>
      <c r="F843" s="72"/>
    </row>
    <row r="844" spans="3:6" ht="19.5">
      <c r="C844" s="72"/>
      <c r="D844" s="72"/>
      <c r="E844" s="72"/>
      <c r="F844" s="72"/>
    </row>
    <row r="845" spans="3:6" ht="19.5">
      <c r="C845" s="72"/>
      <c r="D845" s="72"/>
      <c r="E845" s="72"/>
      <c r="F845" s="72"/>
    </row>
    <row r="846" spans="3:6" ht="19.5">
      <c r="C846" s="72"/>
      <c r="D846" s="72"/>
      <c r="E846" s="72"/>
      <c r="F846" s="72"/>
    </row>
    <row r="847" spans="3:6" ht="19.5">
      <c r="C847" s="72"/>
      <c r="D847" s="72"/>
      <c r="E847" s="72"/>
      <c r="F847" s="72"/>
    </row>
    <row r="848" spans="3:6" ht="19.5">
      <c r="C848" s="72"/>
      <c r="D848" s="72"/>
      <c r="E848" s="72"/>
      <c r="F848" s="72"/>
    </row>
    <row r="849" spans="3:6" ht="19.5">
      <c r="C849" s="72"/>
      <c r="D849" s="72"/>
      <c r="E849" s="72"/>
      <c r="F849" s="72"/>
    </row>
    <row r="850" spans="3:6" ht="19.5">
      <c r="C850" s="72"/>
      <c r="D850" s="72"/>
      <c r="E850" s="72"/>
      <c r="F850" s="72"/>
    </row>
    <row r="851" spans="3:6" ht="19.5">
      <c r="C851" s="72"/>
      <c r="D851" s="72"/>
      <c r="E851" s="72"/>
      <c r="F851" s="72"/>
    </row>
    <row r="852" spans="3:6" ht="19.5">
      <c r="C852" s="72"/>
      <c r="D852" s="72"/>
      <c r="E852" s="72"/>
      <c r="F852" s="72"/>
    </row>
    <row r="853" spans="3:6" ht="19.5">
      <c r="C853" s="72"/>
      <c r="D853" s="72"/>
      <c r="E853" s="72"/>
      <c r="F853" s="72"/>
    </row>
    <row r="854" spans="3:6" ht="19.5">
      <c r="C854" s="72"/>
      <c r="D854" s="72"/>
      <c r="E854" s="72"/>
      <c r="F854" s="72"/>
    </row>
    <row r="855" spans="3:6" ht="19.5">
      <c r="C855" s="72"/>
      <c r="D855" s="72"/>
      <c r="E855" s="72"/>
      <c r="F855" s="72"/>
    </row>
    <row r="856" spans="3:6" ht="19.5">
      <c r="C856" s="72"/>
      <c r="D856" s="72"/>
      <c r="E856" s="72"/>
      <c r="F856" s="72"/>
    </row>
    <row r="857" spans="3:6" ht="19.5">
      <c r="C857" s="72"/>
      <c r="D857" s="72"/>
      <c r="E857" s="72"/>
      <c r="F857" s="72"/>
    </row>
    <row r="858" spans="3:6" ht="19.5">
      <c r="C858" s="72"/>
      <c r="D858" s="72"/>
      <c r="E858" s="72"/>
      <c r="F858" s="72"/>
    </row>
    <row r="859" spans="3:6" ht="19.5">
      <c r="C859" s="72"/>
      <c r="D859" s="72"/>
      <c r="E859" s="72"/>
      <c r="F859" s="72"/>
    </row>
    <row r="860" spans="3:6" ht="19.5">
      <c r="C860" s="72"/>
      <c r="D860" s="72"/>
      <c r="E860" s="72"/>
      <c r="F860" s="72"/>
    </row>
    <row r="861" spans="3:6" ht="19.5">
      <c r="C861" s="72"/>
      <c r="D861" s="72"/>
      <c r="E861" s="72"/>
      <c r="F861" s="72"/>
    </row>
    <row r="862" spans="3:6" ht="19.5">
      <c r="C862" s="72"/>
      <c r="D862" s="72"/>
      <c r="E862" s="72"/>
      <c r="F862" s="72"/>
    </row>
    <row r="863" spans="3:6" ht="19.5">
      <c r="C863" s="72"/>
      <c r="D863" s="72"/>
      <c r="E863" s="72"/>
      <c r="F863" s="72"/>
    </row>
    <row r="864" spans="3:6" ht="19.5">
      <c r="C864" s="72"/>
      <c r="D864" s="72"/>
      <c r="E864" s="72"/>
      <c r="F864" s="72"/>
    </row>
    <row r="865" spans="3:6" ht="19.5">
      <c r="C865" s="72"/>
      <c r="D865" s="72"/>
      <c r="E865" s="72"/>
      <c r="F865" s="72"/>
    </row>
    <row r="866" spans="3:6" ht="19.5">
      <c r="C866" s="72"/>
      <c r="D866" s="72"/>
      <c r="E866" s="72"/>
      <c r="F866" s="72"/>
    </row>
    <row r="867" spans="3:6" ht="19.5">
      <c r="C867" s="72"/>
      <c r="D867" s="72"/>
      <c r="E867" s="72"/>
      <c r="F867" s="72"/>
    </row>
    <row r="868" spans="3:6" ht="19.5">
      <c r="C868" s="72"/>
      <c r="D868" s="72"/>
      <c r="E868" s="72"/>
      <c r="F868" s="72"/>
    </row>
    <row r="869" spans="3:6" ht="19.5">
      <c r="C869" s="72"/>
      <c r="D869" s="72"/>
      <c r="E869" s="72"/>
      <c r="F869" s="72"/>
    </row>
    <row r="870" spans="3:6" ht="19.5">
      <c r="C870" s="72"/>
      <c r="D870" s="72"/>
      <c r="E870" s="72"/>
      <c r="F870" s="72"/>
    </row>
    <row r="871" spans="3:6" ht="19.5">
      <c r="C871" s="72"/>
      <c r="D871" s="72"/>
      <c r="E871" s="72"/>
      <c r="F871" s="72"/>
    </row>
    <row r="872" spans="3:6" ht="19.5">
      <c r="C872" s="72"/>
      <c r="D872" s="72"/>
      <c r="E872" s="72"/>
      <c r="F872" s="72"/>
    </row>
    <row r="873" spans="3:6" ht="19.5">
      <c r="C873" s="72"/>
      <c r="D873" s="72"/>
      <c r="E873" s="72"/>
      <c r="F873" s="72"/>
    </row>
    <row r="874" spans="3:6" ht="19.5">
      <c r="C874" s="72"/>
      <c r="D874" s="72"/>
      <c r="E874" s="72"/>
      <c r="F874" s="72"/>
    </row>
    <row r="875" spans="3:6" ht="19.5">
      <c r="C875" s="72"/>
      <c r="D875" s="72"/>
      <c r="E875" s="72"/>
      <c r="F875" s="72"/>
    </row>
    <row r="876" spans="3:6" ht="19.5">
      <c r="C876" s="72"/>
      <c r="D876" s="72"/>
      <c r="E876" s="72"/>
      <c r="F876" s="72"/>
    </row>
    <row r="877" spans="3:6" ht="19.5">
      <c r="C877" s="72"/>
      <c r="D877" s="72"/>
      <c r="E877" s="72"/>
      <c r="F877" s="72"/>
    </row>
    <row r="878" spans="3:6" ht="19.5">
      <c r="C878" s="72"/>
      <c r="D878" s="72"/>
      <c r="E878" s="72"/>
      <c r="F878" s="72"/>
    </row>
    <row r="879" spans="3:6" ht="19.5">
      <c r="C879" s="72"/>
      <c r="D879" s="72"/>
      <c r="E879" s="72"/>
      <c r="F879" s="72"/>
    </row>
    <row r="880" spans="3:6" ht="19.5">
      <c r="C880" s="72"/>
      <c r="D880" s="72"/>
      <c r="E880" s="72"/>
      <c r="F880" s="72"/>
    </row>
    <row r="881" spans="3:6" ht="19.5">
      <c r="C881" s="72"/>
      <c r="D881" s="72"/>
      <c r="E881" s="72"/>
      <c r="F881" s="72"/>
    </row>
    <row r="882" spans="3:6" ht="19.5">
      <c r="C882" s="72"/>
      <c r="D882" s="72"/>
      <c r="E882" s="72"/>
      <c r="F882" s="72"/>
    </row>
    <row r="883" spans="3:6" ht="19.5">
      <c r="C883" s="72"/>
      <c r="D883" s="72"/>
      <c r="E883" s="72"/>
      <c r="F883" s="72"/>
    </row>
    <row r="884" spans="3:6" ht="19.5">
      <c r="C884" s="72"/>
      <c r="D884" s="72"/>
      <c r="E884" s="72"/>
      <c r="F884" s="72"/>
    </row>
    <row r="885" spans="3:6" ht="19.5">
      <c r="C885" s="72"/>
      <c r="D885" s="72"/>
      <c r="E885" s="72"/>
      <c r="F885" s="72"/>
    </row>
  </sheetData>
  <mergeCells count="13">
    <mergeCell ref="A302:B302"/>
    <mergeCell ref="A141:C141"/>
    <mergeCell ref="A144:C144"/>
    <mergeCell ref="A148:C148"/>
    <mergeCell ref="A223:C223"/>
    <mergeCell ref="A300:C300"/>
    <mergeCell ref="A301:C301"/>
    <mergeCell ref="A121:C121"/>
    <mergeCell ref="A1:F1"/>
    <mergeCell ref="A27:C27"/>
    <mergeCell ref="A62:C62"/>
    <mergeCell ref="A77:C77"/>
    <mergeCell ref="A113:C1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H17"/>
  <sheetViews>
    <sheetView rightToLeft="1" workbookViewId="0">
      <selection sqref="A1:E13"/>
    </sheetView>
  </sheetViews>
  <sheetFormatPr defaultColWidth="7" defaultRowHeight="15.75"/>
  <cols>
    <col min="1" max="2" width="12.375" style="19" customWidth="1"/>
    <col min="3" max="4" width="16.875" style="19" customWidth="1"/>
    <col min="5" max="5" width="12.375" style="19" customWidth="1"/>
    <col min="6" max="16384" width="7" style="19"/>
  </cols>
  <sheetData>
    <row r="1" spans="1:8" ht="51.75" customHeight="1" thickBot="1">
      <c r="A1" s="2897" t="s">
        <v>2018</v>
      </c>
      <c r="B1" s="2897"/>
      <c r="C1" s="2897"/>
      <c r="D1" s="2897"/>
      <c r="E1" s="2897"/>
    </row>
    <row r="2" spans="1:8" ht="22.5" customHeight="1">
      <c r="A2" s="2891" t="s">
        <v>1</v>
      </c>
      <c r="B2" s="2898"/>
      <c r="C2" s="2891" t="s">
        <v>283</v>
      </c>
      <c r="D2" s="2901"/>
      <c r="E2" s="2902" t="s">
        <v>284</v>
      </c>
    </row>
    <row r="3" spans="1:8" ht="26.25" customHeight="1" thickBot="1">
      <c r="A3" s="2899"/>
      <c r="B3" s="2900"/>
      <c r="C3" s="1908">
        <v>1401</v>
      </c>
      <c r="D3" s="1908">
        <v>1402</v>
      </c>
      <c r="E3" s="2903"/>
    </row>
    <row r="4" spans="1:8" ht="28.5" customHeight="1">
      <c r="A4" s="2891" t="s">
        <v>102</v>
      </c>
      <c r="B4" s="1909" t="s">
        <v>285</v>
      </c>
      <c r="C4" s="1910">
        <v>3345</v>
      </c>
      <c r="D4" s="1910">
        <v>4839</v>
      </c>
      <c r="E4" s="1911">
        <f>(D4-C4)/C4</f>
        <v>0.44663677130044843</v>
      </c>
    </row>
    <row r="5" spans="1:8" ht="28.5" customHeight="1">
      <c r="A5" s="2892"/>
      <c r="B5" s="1912" t="s">
        <v>286</v>
      </c>
      <c r="C5" s="1913">
        <v>25869</v>
      </c>
      <c r="D5" s="1913">
        <v>24398</v>
      </c>
      <c r="E5" s="1914">
        <f t="shared" ref="E5:E13" si="0">(D5-C5)/C5</f>
        <v>-5.6863427268158802E-2</v>
      </c>
      <c r="H5" s="19">
        <v>24398</v>
      </c>
    </row>
    <row r="6" spans="1:8" ht="28.5" customHeight="1" thickBot="1">
      <c r="A6" s="2893"/>
      <c r="B6" s="1915" t="s">
        <v>287</v>
      </c>
      <c r="C6" s="1916">
        <f>SUM(C4:C5)</f>
        <v>29214</v>
      </c>
      <c r="D6" s="1916">
        <f>SUM(D4:D5)</f>
        <v>29237</v>
      </c>
      <c r="E6" s="1917">
        <f t="shared" si="0"/>
        <v>7.872937632641884E-4</v>
      </c>
      <c r="H6" s="19">
        <v>1285501</v>
      </c>
    </row>
    <row r="7" spans="1:8" ht="28.5" customHeight="1">
      <c r="A7" s="2904" t="s">
        <v>288</v>
      </c>
      <c r="B7" s="1918" t="s">
        <v>285</v>
      </c>
      <c r="C7" s="1910">
        <v>195973</v>
      </c>
      <c r="D7" s="1910">
        <v>284933</v>
      </c>
      <c r="E7" s="1911">
        <f t="shared" si="0"/>
        <v>0.45394008358294252</v>
      </c>
      <c r="H7" s="19">
        <v>1469813582</v>
      </c>
    </row>
    <row r="8" spans="1:8" ht="28.5" customHeight="1">
      <c r="A8" s="2892"/>
      <c r="B8" s="1912" t="s">
        <v>286</v>
      </c>
      <c r="C8" s="1913">
        <v>1236609</v>
      </c>
      <c r="D8" s="1913">
        <v>1285501</v>
      </c>
      <c r="E8" s="1914">
        <f t="shared" si="0"/>
        <v>3.9537153619292761E-2</v>
      </c>
    </row>
    <row r="9" spans="1:8" ht="28.5" customHeight="1" thickBot="1">
      <c r="A9" s="2899"/>
      <c r="B9" s="1919" t="s">
        <v>287</v>
      </c>
      <c r="C9" s="1920">
        <f>SUM(C7:C8)</f>
        <v>1432582</v>
      </c>
      <c r="D9" s="1920">
        <f>SUM(D7:D8)</f>
        <v>1570434</v>
      </c>
      <c r="E9" s="1917">
        <f t="shared" si="0"/>
        <v>9.6226254413359927E-2</v>
      </c>
    </row>
    <row r="10" spans="1:8" ht="28.5" customHeight="1">
      <c r="A10" s="2891" t="s">
        <v>104</v>
      </c>
      <c r="B10" s="1909" t="s">
        <v>285</v>
      </c>
      <c r="C10" s="1910">
        <v>51781692</v>
      </c>
      <c r="D10" s="1910">
        <v>55535798</v>
      </c>
      <c r="E10" s="1911">
        <f t="shared" si="0"/>
        <v>7.2498712479306393E-2</v>
      </c>
    </row>
    <row r="11" spans="1:8" ht="28.5" customHeight="1">
      <c r="A11" s="2892"/>
      <c r="B11" s="1912" t="s">
        <v>286</v>
      </c>
      <c r="C11" s="1913">
        <v>1373221370</v>
      </c>
      <c r="D11" s="1913">
        <v>1469813582</v>
      </c>
      <c r="E11" s="1914">
        <f t="shared" si="0"/>
        <v>7.0339869528829133E-2</v>
      </c>
    </row>
    <row r="12" spans="1:8" ht="28.5" customHeight="1" thickBot="1">
      <c r="A12" s="2893"/>
      <c r="B12" s="1915" t="s">
        <v>287</v>
      </c>
      <c r="C12" s="1916">
        <f>SUM(C10:C11)</f>
        <v>1425003062</v>
      </c>
      <c r="D12" s="1916">
        <f>SUM(D10:D11)</f>
        <v>1525349380</v>
      </c>
      <c r="E12" s="1917">
        <f t="shared" si="0"/>
        <v>7.0418317459025923E-2</v>
      </c>
    </row>
    <row r="13" spans="1:8" ht="28.5" customHeight="1" thickBot="1">
      <c r="A13" s="2894" t="s">
        <v>60</v>
      </c>
      <c r="B13" s="2895"/>
      <c r="C13" s="1921">
        <f>C12/C9</f>
        <v>994.70959568108492</v>
      </c>
      <c r="D13" s="1921">
        <f>D12/D9</f>
        <v>971.29161747644287</v>
      </c>
      <c r="E13" s="1922">
        <f t="shared" si="0"/>
        <v>-2.3542527694836998E-2</v>
      </c>
    </row>
    <row r="14" spans="1:8">
      <c r="A14" s="2896" t="s">
        <v>282</v>
      </c>
      <c r="B14" s="2896"/>
    </row>
    <row r="16" spans="1:8" ht="21">
      <c r="D16" s="74">
        <v>2852184968</v>
      </c>
    </row>
    <row r="17" spans="4:4">
      <c r="D17" s="75">
        <f>+D12-D16</f>
        <v>-1326835588</v>
      </c>
    </row>
  </sheetData>
  <mergeCells count="9">
    <mergeCell ref="A10:A12"/>
    <mergeCell ref="A13:B13"/>
    <mergeCell ref="A14:B14"/>
    <mergeCell ref="A1:E1"/>
    <mergeCell ref="A2:B3"/>
    <mergeCell ref="C2:D2"/>
    <mergeCell ref="E2:E3"/>
    <mergeCell ref="A4:A6"/>
    <mergeCell ref="A7:A9"/>
  </mergeCells>
  <printOptions horizontalCentered="1"/>
  <pageMargins left="0.78740157480314965" right="0.78740157480314965" top="0.78740157480314965" bottom="0.78740157480314965" header="0" footer="0"/>
  <pageSetup paperSize="9" firstPageNumber="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O60"/>
  <sheetViews>
    <sheetView rightToLeft="1" zoomScale="115" zoomScaleNormal="115" workbookViewId="0">
      <selection sqref="A1:I52"/>
    </sheetView>
  </sheetViews>
  <sheetFormatPr defaultColWidth="7" defaultRowHeight="15.75"/>
  <cols>
    <col min="1" max="1" width="11.375" style="77" bestFit="1" customWidth="1"/>
    <col min="2" max="2" width="7.375" style="77" bestFit="1" customWidth="1"/>
    <col min="3" max="3" width="13.25" style="77" customWidth="1"/>
    <col min="4" max="4" width="10.875" style="77" bestFit="1" customWidth="1"/>
    <col min="5" max="5" width="13.875" style="77" customWidth="1"/>
    <col min="6" max="6" width="13.25" style="77" customWidth="1"/>
    <col min="7" max="7" width="10.875" style="77" bestFit="1" customWidth="1"/>
    <col min="8" max="8" width="13.625" style="77" customWidth="1"/>
    <col min="9" max="9" width="9.375" style="77" customWidth="1"/>
    <col min="10" max="10" width="12.375" style="77" customWidth="1"/>
    <col min="11" max="11" width="14.25" style="77" bestFit="1" customWidth="1"/>
    <col min="12" max="12" width="9.375" style="77" bestFit="1" customWidth="1"/>
    <col min="13" max="13" width="10.75" style="77" customWidth="1"/>
    <col min="14" max="16384" width="7" style="77"/>
  </cols>
  <sheetData>
    <row r="1" spans="1:11" s="76" customFormat="1" ht="30.75" customHeight="1" thickBot="1">
      <c r="A1" s="2908" t="s">
        <v>289</v>
      </c>
      <c r="B1" s="2908"/>
      <c r="C1" s="2908"/>
      <c r="D1" s="2908"/>
      <c r="E1" s="2908"/>
      <c r="F1" s="2908"/>
      <c r="G1" s="2908"/>
      <c r="H1" s="2908"/>
      <c r="I1" s="2908"/>
    </row>
    <row r="2" spans="1:11" ht="23.25" customHeight="1">
      <c r="A2" s="2909" t="s">
        <v>1</v>
      </c>
      <c r="B2" s="2910"/>
      <c r="C2" s="2909">
        <v>1401</v>
      </c>
      <c r="D2" s="2913"/>
      <c r="E2" s="2914"/>
      <c r="F2" s="2909">
        <v>1402</v>
      </c>
      <c r="G2" s="2913"/>
      <c r="H2" s="2914"/>
      <c r="I2" s="2915" t="s">
        <v>290</v>
      </c>
    </row>
    <row r="3" spans="1:11" ht="23.25" customHeight="1" thickBot="1">
      <c r="A3" s="2911"/>
      <c r="B3" s="2912"/>
      <c r="C3" s="2513" t="s">
        <v>286</v>
      </c>
      <c r="D3" s="1923" t="s">
        <v>285</v>
      </c>
      <c r="E3" s="1924" t="s">
        <v>49</v>
      </c>
      <c r="F3" s="2513" t="s">
        <v>286</v>
      </c>
      <c r="G3" s="1923" t="s">
        <v>285</v>
      </c>
      <c r="H3" s="1924" t="s">
        <v>49</v>
      </c>
      <c r="I3" s="2916"/>
    </row>
    <row r="4" spans="1:11" ht="16.5" customHeight="1">
      <c r="A4" s="2905" t="s">
        <v>291</v>
      </c>
      <c r="B4" s="1925" t="s">
        <v>292</v>
      </c>
      <c r="C4" s="2646">
        <v>0</v>
      </c>
      <c r="D4" s="2647">
        <v>0</v>
      </c>
      <c r="E4" s="2648">
        <f>SUM(C4:D4)</f>
        <v>0</v>
      </c>
      <c r="F4" s="2646">
        <v>0</v>
      </c>
      <c r="G4" s="2647">
        <v>0</v>
      </c>
      <c r="H4" s="2648">
        <f>SUM(F4:G4)</f>
        <v>0</v>
      </c>
      <c r="I4" s="2649" t="str">
        <f>IFERROR((H4/E4-1),"-")</f>
        <v>-</v>
      </c>
      <c r="K4" s="79"/>
    </row>
    <row r="5" spans="1:11" ht="16.5" customHeight="1">
      <c r="A5" s="2906"/>
      <c r="B5" s="1926" t="s">
        <v>288</v>
      </c>
      <c r="C5" s="2650">
        <v>0</v>
      </c>
      <c r="D5" s="2651">
        <v>0</v>
      </c>
      <c r="E5" s="2652">
        <f t="shared" ref="E5:E39" si="0">SUM(C5:D5)</f>
        <v>0</v>
      </c>
      <c r="F5" s="2650">
        <v>0</v>
      </c>
      <c r="G5" s="2651">
        <v>0</v>
      </c>
      <c r="H5" s="2652">
        <f t="shared" ref="H5:H39" si="1">SUM(F5:G5)</f>
        <v>0</v>
      </c>
      <c r="I5" s="2653" t="str">
        <f t="shared" ref="I5:I39" si="2">IFERROR((H5/E5-1),"-")</f>
        <v>-</v>
      </c>
      <c r="K5" s="79"/>
    </row>
    <row r="6" spans="1:11" ht="16.5" customHeight="1" thickBot="1">
      <c r="A6" s="2907"/>
      <c r="B6" s="1927" t="s">
        <v>104</v>
      </c>
      <c r="C6" s="2654">
        <v>0</v>
      </c>
      <c r="D6" s="2655">
        <v>0</v>
      </c>
      <c r="E6" s="2656">
        <f t="shared" si="0"/>
        <v>0</v>
      </c>
      <c r="F6" s="2654">
        <v>0</v>
      </c>
      <c r="G6" s="2655">
        <v>0</v>
      </c>
      <c r="H6" s="2656">
        <f t="shared" si="1"/>
        <v>0</v>
      </c>
      <c r="I6" s="2657" t="str">
        <f t="shared" si="2"/>
        <v>-</v>
      </c>
      <c r="K6" s="79"/>
    </row>
    <row r="7" spans="1:11" ht="16.5" customHeight="1">
      <c r="A7" s="2905" t="s">
        <v>164</v>
      </c>
      <c r="B7" s="1925" t="s">
        <v>292</v>
      </c>
      <c r="C7" s="2658">
        <v>0</v>
      </c>
      <c r="D7" s="2659">
        <v>0</v>
      </c>
      <c r="E7" s="2648">
        <f t="shared" si="0"/>
        <v>0</v>
      </c>
      <c r="F7" s="2658">
        <v>25</v>
      </c>
      <c r="G7" s="2659">
        <v>0</v>
      </c>
      <c r="H7" s="2648">
        <f t="shared" si="1"/>
        <v>25</v>
      </c>
      <c r="I7" s="2649" t="str">
        <f t="shared" si="2"/>
        <v>-</v>
      </c>
      <c r="K7" s="2919" t="s">
        <v>293</v>
      </c>
    </row>
    <row r="8" spans="1:11" ht="16.5" customHeight="1">
      <c r="A8" s="2906"/>
      <c r="B8" s="1926" t="s">
        <v>288</v>
      </c>
      <c r="C8" s="2660">
        <v>0</v>
      </c>
      <c r="D8" s="2661">
        <v>0</v>
      </c>
      <c r="E8" s="2652">
        <f t="shared" si="0"/>
        <v>0</v>
      </c>
      <c r="F8" s="2660">
        <v>176</v>
      </c>
      <c r="G8" s="2661">
        <v>0</v>
      </c>
      <c r="H8" s="2652">
        <f t="shared" si="1"/>
        <v>176</v>
      </c>
      <c r="I8" s="2653" t="str">
        <f t="shared" si="2"/>
        <v>-</v>
      </c>
      <c r="K8" s="2919"/>
    </row>
    <row r="9" spans="1:11" ht="16.5" customHeight="1" thickBot="1">
      <c r="A9" s="2907"/>
      <c r="B9" s="1927" t="s">
        <v>104</v>
      </c>
      <c r="C9" s="2662">
        <v>0</v>
      </c>
      <c r="D9" s="2663">
        <v>0</v>
      </c>
      <c r="E9" s="2656">
        <f t="shared" si="0"/>
        <v>0</v>
      </c>
      <c r="F9" s="2664">
        <v>279400</v>
      </c>
      <c r="G9" s="2663">
        <v>0</v>
      </c>
      <c r="H9" s="2656">
        <f t="shared" si="1"/>
        <v>279400</v>
      </c>
      <c r="I9" s="2657" t="str">
        <f t="shared" si="2"/>
        <v>-</v>
      </c>
      <c r="K9" s="2919"/>
    </row>
    <row r="10" spans="1:11" ht="16.5" customHeight="1">
      <c r="A10" s="2905" t="s">
        <v>133</v>
      </c>
      <c r="B10" s="1925" t="s">
        <v>292</v>
      </c>
      <c r="C10" s="2658">
        <v>14089</v>
      </c>
      <c r="D10" s="2659">
        <v>118</v>
      </c>
      <c r="E10" s="2648">
        <f t="shared" si="0"/>
        <v>14207</v>
      </c>
      <c r="F10" s="2658">
        <v>16342</v>
      </c>
      <c r="G10" s="2659">
        <v>86</v>
      </c>
      <c r="H10" s="2648">
        <f t="shared" si="1"/>
        <v>16428</v>
      </c>
      <c r="I10" s="2665">
        <f t="shared" si="2"/>
        <v>0.15633138593651008</v>
      </c>
      <c r="K10" s="2919"/>
    </row>
    <row r="11" spans="1:11" ht="16.5" customHeight="1">
      <c r="A11" s="2906"/>
      <c r="B11" s="1926" t="s">
        <v>288</v>
      </c>
      <c r="C11" s="2660">
        <v>890287</v>
      </c>
      <c r="D11" s="2661">
        <v>6210</v>
      </c>
      <c r="E11" s="2652">
        <f t="shared" si="0"/>
        <v>896497</v>
      </c>
      <c r="F11" s="2660">
        <v>1039241</v>
      </c>
      <c r="G11" s="2661">
        <v>5135</v>
      </c>
      <c r="H11" s="2652">
        <f t="shared" si="1"/>
        <v>1044376</v>
      </c>
      <c r="I11" s="2666">
        <f t="shared" si="2"/>
        <v>0.16495202995659763</v>
      </c>
      <c r="J11" s="79"/>
      <c r="K11" s="79"/>
    </row>
    <row r="12" spans="1:11" ht="16.5" customHeight="1" thickBot="1">
      <c r="A12" s="2907"/>
      <c r="B12" s="1927" t="s">
        <v>104</v>
      </c>
      <c r="C12" s="2710">
        <v>252356305</v>
      </c>
      <c r="D12" s="2711">
        <v>936623</v>
      </c>
      <c r="E12" s="2712">
        <f t="shared" si="0"/>
        <v>253292928</v>
      </c>
      <c r="F12" s="2710">
        <v>240514524</v>
      </c>
      <c r="G12" s="2711">
        <v>781641</v>
      </c>
      <c r="H12" s="2712">
        <f t="shared" si="1"/>
        <v>241296165</v>
      </c>
      <c r="I12" s="2667">
        <f t="shared" si="2"/>
        <v>-4.7363197601790086E-2</v>
      </c>
      <c r="J12" s="79"/>
      <c r="K12" s="79"/>
    </row>
    <row r="13" spans="1:11" ht="16.5" customHeight="1">
      <c r="A13" s="2905" t="s">
        <v>132</v>
      </c>
      <c r="B13" s="1925" t="s">
        <v>292</v>
      </c>
      <c r="C13" s="2658">
        <v>7747</v>
      </c>
      <c r="D13" s="2659">
        <v>4</v>
      </c>
      <c r="E13" s="2648">
        <f t="shared" si="0"/>
        <v>7751</v>
      </c>
      <c r="F13" s="2658">
        <v>4049</v>
      </c>
      <c r="G13" s="2659">
        <v>19</v>
      </c>
      <c r="H13" s="2648">
        <f t="shared" si="1"/>
        <v>4068</v>
      </c>
      <c r="I13" s="2665">
        <f t="shared" si="2"/>
        <v>-0.47516449490388335</v>
      </c>
      <c r="J13" s="79">
        <f>+H13-7774</f>
        <v>-3706</v>
      </c>
    </row>
    <row r="14" spans="1:11" ht="16.5" customHeight="1">
      <c r="A14" s="2906"/>
      <c r="B14" s="1926" t="s">
        <v>288</v>
      </c>
      <c r="C14" s="2660">
        <v>330184</v>
      </c>
      <c r="D14" s="2661">
        <v>130</v>
      </c>
      <c r="E14" s="2652">
        <f t="shared" si="0"/>
        <v>330314</v>
      </c>
      <c r="F14" s="2660">
        <v>175422</v>
      </c>
      <c r="G14" s="2661">
        <v>1015</v>
      </c>
      <c r="H14" s="2652">
        <f t="shared" si="1"/>
        <v>176437</v>
      </c>
      <c r="I14" s="2666">
        <f t="shared" si="2"/>
        <v>-0.46585067541793568</v>
      </c>
    </row>
    <row r="15" spans="1:11" ht="16.5" customHeight="1" thickBot="1">
      <c r="A15" s="2907"/>
      <c r="B15" s="1927" t="s">
        <v>104</v>
      </c>
      <c r="C15" s="2710">
        <v>301541712</v>
      </c>
      <c r="D15" s="2711">
        <v>29132</v>
      </c>
      <c r="E15" s="2712">
        <f t="shared" si="0"/>
        <v>301570844</v>
      </c>
      <c r="F15" s="2710">
        <v>148526597</v>
      </c>
      <c r="G15" s="2711">
        <v>655820</v>
      </c>
      <c r="H15" s="2712">
        <f t="shared" si="1"/>
        <v>149182417</v>
      </c>
      <c r="I15" s="2667">
        <f t="shared" si="2"/>
        <v>-0.50531551717247569</v>
      </c>
      <c r="J15" s="77">
        <v>301570821</v>
      </c>
    </row>
    <row r="16" spans="1:11" ht="16.5" customHeight="1">
      <c r="A16" s="2920" t="s">
        <v>294</v>
      </c>
      <c r="B16" s="1928" t="s">
        <v>292</v>
      </c>
      <c r="C16" s="2668">
        <v>0</v>
      </c>
      <c r="D16" s="2669">
        <v>0</v>
      </c>
      <c r="E16" s="2648">
        <f t="shared" si="0"/>
        <v>0</v>
      </c>
      <c r="F16" s="2668">
        <v>0</v>
      </c>
      <c r="G16" s="2669">
        <v>0</v>
      </c>
      <c r="H16" s="2670">
        <f t="shared" si="1"/>
        <v>0</v>
      </c>
      <c r="I16" s="2649" t="str">
        <f t="shared" si="2"/>
        <v>-</v>
      </c>
    </row>
    <row r="17" spans="1:15" ht="16.5" customHeight="1">
      <c r="A17" s="2906"/>
      <c r="B17" s="1926" t="s">
        <v>288</v>
      </c>
      <c r="C17" s="2660">
        <v>0</v>
      </c>
      <c r="D17" s="2661">
        <v>0</v>
      </c>
      <c r="E17" s="2652">
        <f t="shared" si="0"/>
        <v>0</v>
      </c>
      <c r="F17" s="2660">
        <v>0</v>
      </c>
      <c r="G17" s="2661">
        <v>0</v>
      </c>
      <c r="H17" s="2652">
        <f t="shared" si="1"/>
        <v>0</v>
      </c>
      <c r="I17" s="2653" t="str">
        <f t="shared" si="2"/>
        <v>-</v>
      </c>
    </row>
    <row r="18" spans="1:15" ht="16.5" customHeight="1" thickBot="1">
      <c r="A18" s="2921"/>
      <c r="B18" s="1929" t="s">
        <v>104</v>
      </c>
      <c r="C18" s="2671">
        <v>0</v>
      </c>
      <c r="D18" s="2672">
        <v>0</v>
      </c>
      <c r="E18" s="2656">
        <f t="shared" si="0"/>
        <v>0</v>
      </c>
      <c r="F18" s="2671">
        <v>0</v>
      </c>
      <c r="G18" s="2672">
        <v>0</v>
      </c>
      <c r="H18" s="2673">
        <f t="shared" si="1"/>
        <v>0</v>
      </c>
      <c r="I18" s="2657" t="str">
        <f t="shared" si="2"/>
        <v>-</v>
      </c>
    </row>
    <row r="19" spans="1:15" ht="16.5" customHeight="1">
      <c r="A19" s="2905" t="s">
        <v>106</v>
      </c>
      <c r="B19" s="1925" t="s">
        <v>292</v>
      </c>
      <c r="C19" s="2658">
        <v>3821</v>
      </c>
      <c r="D19" s="2659">
        <v>0</v>
      </c>
      <c r="E19" s="2648">
        <f t="shared" si="0"/>
        <v>3821</v>
      </c>
      <c r="F19" s="2658">
        <v>3469</v>
      </c>
      <c r="G19" s="2659">
        <v>0</v>
      </c>
      <c r="H19" s="2648">
        <f t="shared" si="1"/>
        <v>3469</v>
      </c>
      <c r="I19" s="2674">
        <f t="shared" si="2"/>
        <v>-9.2122481025909475E-2</v>
      </c>
    </row>
    <row r="20" spans="1:15" ht="16.5" customHeight="1">
      <c r="A20" s="2906"/>
      <c r="B20" s="1926" t="s">
        <v>288</v>
      </c>
      <c r="C20" s="2660">
        <v>199151</v>
      </c>
      <c r="D20" s="2661">
        <v>0</v>
      </c>
      <c r="E20" s="2652">
        <f t="shared" si="0"/>
        <v>199151</v>
      </c>
      <c r="F20" s="2660">
        <v>183589</v>
      </c>
      <c r="G20" s="2661">
        <v>0</v>
      </c>
      <c r="H20" s="2652">
        <f t="shared" si="1"/>
        <v>183589</v>
      </c>
      <c r="I20" s="2666">
        <f t="shared" si="2"/>
        <v>-7.8141711565595906E-2</v>
      </c>
    </row>
    <row r="21" spans="1:15" ht="16.5" customHeight="1" thickBot="1">
      <c r="A21" s="2907"/>
      <c r="B21" s="1927" t="s">
        <v>104</v>
      </c>
      <c r="C21" s="2710">
        <v>29872650</v>
      </c>
      <c r="D21" s="2711">
        <v>0</v>
      </c>
      <c r="E21" s="2712">
        <f t="shared" si="0"/>
        <v>29872650</v>
      </c>
      <c r="F21" s="2710">
        <v>27538350</v>
      </c>
      <c r="G21" s="2711">
        <v>0</v>
      </c>
      <c r="H21" s="2712">
        <f t="shared" si="1"/>
        <v>27538350</v>
      </c>
      <c r="I21" s="2675">
        <f t="shared" si="2"/>
        <v>-7.8141711565595906E-2</v>
      </c>
    </row>
    <row r="22" spans="1:15" ht="16.5" customHeight="1">
      <c r="A22" s="2922" t="s">
        <v>295</v>
      </c>
      <c r="B22" s="1925" t="s">
        <v>292</v>
      </c>
      <c r="C22" s="2658">
        <v>4708</v>
      </c>
      <c r="D22" s="2659">
        <v>7</v>
      </c>
      <c r="E22" s="2648">
        <f t="shared" si="0"/>
        <v>4715</v>
      </c>
      <c r="F22" s="2658">
        <v>6287</v>
      </c>
      <c r="G22" s="2659">
        <v>0</v>
      </c>
      <c r="H22" s="2648">
        <f t="shared" si="1"/>
        <v>6287</v>
      </c>
      <c r="I22" s="2665">
        <f t="shared" si="2"/>
        <v>0.33340402969247074</v>
      </c>
    </row>
    <row r="23" spans="1:15" ht="16.5" customHeight="1">
      <c r="A23" s="2923"/>
      <c r="B23" s="1926" t="s">
        <v>288</v>
      </c>
      <c r="C23" s="2660">
        <v>311514</v>
      </c>
      <c r="D23" s="2661">
        <v>436</v>
      </c>
      <c r="E23" s="2652">
        <f t="shared" si="0"/>
        <v>311950</v>
      </c>
      <c r="F23" s="2660">
        <v>395627</v>
      </c>
      <c r="G23" s="2661">
        <v>0</v>
      </c>
      <c r="H23" s="2652">
        <f t="shared" si="1"/>
        <v>395627</v>
      </c>
      <c r="I23" s="2666">
        <f t="shared" si="2"/>
        <v>0.26823849975957681</v>
      </c>
    </row>
    <row r="24" spans="1:15" ht="16.5" customHeight="1" thickBot="1">
      <c r="A24" s="2924"/>
      <c r="B24" s="1927" t="s">
        <v>104</v>
      </c>
      <c r="C24" s="2710">
        <v>47074676</v>
      </c>
      <c r="D24" s="2711">
        <v>65400</v>
      </c>
      <c r="E24" s="2712">
        <f t="shared" si="0"/>
        <v>47140076</v>
      </c>
      <c r="F24" s="2710">
        <v>59838170</v>
      </c>
      <c r="G24" s="2711">
        <v>0</v>
      </c>
      <c r="H24" s="2712">
        <f t="shared" si="1"/>
        <v>59838170</v>
      </c>
      <c r="I24" s="2667">
        <f t="shared" si="2"/>
        <v>0.26936940025298228</v>
      </c>
    </row>
    <row r="25" spans="1:15" ht="16.5" customHeight="1">
      <c r="A25" s="2923" t="s">
        <v>296</v>
      </c>
      <c r="B25" s="1928" t="s">
        <v>292</v>
      </c>
      <c r="C25" s="2668">
        <v>0</v>
      </c>
      <c r="D25" s="2669">
        <v>0</v>
      </c>
      <c r="E25" s="2648">
        <f t="shared" si="0"/>
        <v>0</v>
      </c>
      <c r="F25" s="2668">
        <v>0</v>
      </c>
      <c r="G25" s="2669">
        <v>0</v>
      </c>
      <c r="H25" s="2670">
        <f t="shared" si="1"/>
        <v>0</v>
      </c>
      <c r="I25" s="2649" t="str">
        <f t="shared" si="2"/>
        <v>-</v>
      </c>
    </row>
    <row r="26" spans="1:15" ht="16.5" customHeight="1">
      <c r="A26" s="2923"/>
      <c r="B26" s="1926" t="s">
        <v>288</v>
      </c>
      <c r="C26" s="2660">
        <v>0</v>
      </c>
      <c r="D26" s="2661">
        <v>0</v>
      </c>
      <c r="E26" s="2652">
        <f t="shared" si="0"/>
        <v>0</v>
      </c>
      <c r="F26" s="2660">
        <v>0</v>
      </c>
      <c r="G26" s="2661">
        <v>0</v>
      </c>
      <c r="H26" s="2652">
        <f t="shared" si="1"/>
        <v>0</v>
      </c>
      <c r="I26" s="2653" t="str">
        <f t="shared" si="2"/>
        <v>-</v>
      </c>
    </row>
    <row r="27" spans="1:15" ht="16.5" customHeight="1" thickBot="1">
      <c r="A27" s="2924"/>
      <c r="B27" s="1927" t="s">
        <v>104</v>
      </c>
      <c r="C27" s="2664">
        <v>0</v>
      </c>
      <c r="D27" s="2663">
        <v>0</v>
      </c>
      <c r="E27" s="2656">
        <f t="shared" si="0"/>
        <v>0</v>
      </c>
      <c r="F27" s="2664">
        <v>0</v>
      </c>
      <c r="G27" s="2663">
        <v>0</v>
      </c>
      <c r="H27" s="2656">
        <f t="shared" si="1"/>
        <v>0</v>
      </c>
      <c r="I27" s="2657" t="str">
        <f t="shared" si="2"/>
        <v>-</v>
      </c>
    </row>
    <row r="28" spans="1:15" ht="16.5" customHeight="1">
      <c r="A28" s="2922" t="s">
        <v>297</v>
      </c>
      <c r="B28" s="1928" t="s">
        <v>292</v>
      </c>
      <c r="C28" s="2676">
        <v>0</v>
      </c>
      <c r="D28" s="2677">
        <v>0</v>
      </c>
      <c r="E28" s="2648">
        <f t="shared" si="0"/>
        <v>0</v>
      </c>
      <c r="F28" s="2676">
        <v>0</v>
      </c>
      <c r="G28" s="2677">
        <v>0</v>
      </c>
      <c r="H28" s="2678">
        <f t="shared" si="1"/>
        <v>0</v>
      </c>
      <c r="I28" s="2649" t="str">
        <f t="shared" si="2"/>
        <v>-</v>
      </c>
    </row>
    <row r="29" spans="1:15" ht="16.5" customHeight="1">
      <c r="A29" s="2923"/>
      <c r="B29" s="1926" t="s">
        <v>288</v>
      </c>
      <c r="C29" s="2660">
        <v>0</v>
      </c>
      <c r="D29" s="2661">
        <v>0</v>
      </c>
      <c r="E29" s="2652">
        <f t="shared" si="0"/>
        <v>0</v>
      </c>
      <c r="F29" s="2660">
        <v>0</v>
      </c>
      <c r="G29" s="2661">
        <v>0</v>
      </c>
      <c r="H29" s="2652">
        <f t="shared" si="1"/>
        <v>0</v>
      </c>
      <c r="I29" s="2653" t="str">
        <f t="shared" si="2"/>
        <v>-</v>
      </c>
    </row>
    <row r="30" spans="1:15" ht="16.5" customHeight="1" thickBot="1">
      <c r="A30" s="2924"/>
      <c r="B30" s="1927" t="s">
        <v>104</v>
      </c>
      <c r="C30" s="2679">
        <v>0</v>
      </c>
      <c r="D30" s="2680">
        <v>0</v>
      </c>
      <c r="E30" s="2656">
        <f t="shared" si="0"/>
        <v>0</v>
      </c>
      <c r="F30" s="2679">
        <v>0</v>
      </c>
      <c r="G30" s="2680">
        <v>0</v>
      </c>
      <c r="H30" s="2681">
        <f t="shared" si="1"/>
        <v>0</v>
      </c>
      <c r="I30" s="2657" t="str">
        <f t="shared" si="2"/>
        <v>-</v>
      </c>
    </row>
    <row r="31" spans="1:15" ht="16.5" customHeight="1">
      <c r="A31" s="2905" t="s">
        <v>278</v>
      </c>
      <c r="B31" s="1925" t="s">
        <v>292</v>
      </c>
      <c r="C31" s="2658">
        <v>1653</v>
      </c>
      <c r="D31" s="2659">
        <v>62</v>
      </c>
      <c r="E31" s="2648">
        <f t="shared" si="0"/>
        <v>1715</v>
      </c>
      <c r="F31" s="2658">
        <v>1280</v>
      </c>
      <c r="G31" s="2659">
        <v>10</v>
      </c>
      <c r="H31" s="2648">
        <f t="shared" si="1"/>
        <v>1290</v>
      </c>
      <c r="I31" s="2665">
        <f t="shared" si="2"/>
        <v>-0.24781341107871724</v>
      </c>
      <c r="O31" s="77">
        <f>SUM(O15:O21)</f>
        <v>0</v>
      </c>
    </row>
    <row r="32" spans="1:15" ht="16.5" customHeight="1">
      <c r="A32" s="2906"/>
      <c r="B32" s="1926" t="s">
        <v>288</v>
      </c>
      <c r="C32" s="2660">
        <v>38048</v>
      </c>
      <c r="D32" s="2661">
        <v>1426</v>
      </c>
      <c r="E32" s="2652">
        <f t="shared" si="0"/>
        <v>39474</v>
      </c>
      <c r="F32" s="2660">
        <v>29592</v>
      </c>
      <c r="G32" s="2661">
        <v>230</v>
      </c>
      <c r="H32" s="2670">
        <f t="shared" si="1"/>
        <v>29822</v>
      </c>
      <c r="I32" s="2666">
        <f t="shared" si="2"/>
        <v>-0.24451537721031569</v>
      </c>
      <c r="K32" s="80"/>
    </row>
    <row r="33" spans="1:12" ht="16.5" customHeight="1" thickBot="1">
      <c r="A33" s="2907"/>
      <c r="B33" s="1927" t="s">
        <v>104</v>
      </c>
      <c r="C33" s="2713">
        <v>5723725</v>
      </c>
      <c r="D33" s="2711">
        <v>213900</v>
      </c>
      <c r="E33" s="2712">
        <f t="shared" si="0"/>
        <v>5937625</v>
      </c>
      <c r="F33" s="2713">
        <v>4438800</v>
      </c>
      <c r="G33" s="2711">
        <v>34500</v>
      </c>
      <c r="H33" s="2714">
        <f t="shared" si="1"/>
        <v>4473300</v>
      </c>
      <c r="I33" s="2667">
        <f t="shared" si="2"/>
        <v>-0.24661796593755925</v>
      </c>
    </row>
    <row r="34" spans="1:12" ht="16.5" customHeight="1">
      <c r="A34" s="2922" t="s">
        <v>298</v>
      </c>
      <c r="B34" s="1925" t="s">
        <v>292</v>
      </c>
      <c r="C34" s="2658">
        <v>57</v>
      </c>
      <c r="D34" s="2659">
        <v>0</v>
      </c>
      <c r="E34" s="2648">
        <f t="shared" si="0"/>
        <v>57</v>
      </c>
      <c r="F34" s="2658">
        <v>176</v>
      </c>
      <c r="G34" s="2659">
        <v>0</v>
      </c>
      <c r="H34" s="2648">
        <f t="shared" si="1"/>
        <v>176</v>
      </c>
      <c r="I34" s="2649">
        <f t="shared" si="2"/>
        <v>2.0877192982456139</v>
      </c>
      <c r="J34" s="2917" t="s">
        <v>299</v>
      </c>
      <c r="K34" s="2918"/>
      <c r="L34" s="2918"/>
    </row>
    <row r="35" spans="1:12" ht="16.5" customHeight="1">
      <c r="A35" s="2923"/>
      <c r="B35" s="1926" t="s">
        <v>288</v>
      </c>
      <c r="C35" s="2660">
        <v>896</v>
      </c>
      <c r="D35" s="2661">
        <v>0</v>
      </c>
      <c r="E35" s="2652">
        <f t="shared" si="0"/>
        <v>896</v>
      </c>
      <c r="F35" s="2660">
        <v>10205</v>
      </c>
      <c r="G35" s="2661">
        <v>0</v>
      </c>
      <c r="H35" s="2670">
        <f t="shared" si="1"/>
        <v>10205</v>
      </c>
      <c r="I35" s="2653">
        <f t="shared" si="2"/>
        <v>10.389508928571429</v>
      </c>
    </row>
    <row r="36" spans="1:12" ht="16.5" customHeight="1" thickBot="1">
      <c r="A36" s="2924"/>
      <c r="B36" s="1927" t="s">
        <v>104</v>
      </c>
      <c r="C36" s="2710">
        <v>256109</v>
      </c>
      <c r="D36" s="2711">
        <v>0</v>
      </c>
      <c r="E36" s="2712">
        <f t="shared" si="0"/>
        <v>256109</v>
      </c>
      <c r="F36" s="2713">
        <v>7059382</v>
      </c>
      <c r="G36" s="2711">
        <v>0</v>
      </c>
      <c r="H36" s="2714">
        <f t="shared" si="1"/>
        <v>7059382</v>
      </c>
      <c r="I36" s="2657">
        <f t="shared" si="2"/>
        <v>26.563974713891351</v>
      </c>
    </row>
    <row r="37" spans="1:12" ht="16.5" customHeight="1">
      <c r="A37" s="2927" t="s">
        <v>300</v>
      </c>
      <c r="B37" s="1928" t="s">
        <v>292</v>
      </c>
      <c r="C37" s="2682">
        <v>32075</v>
      </c>
      <c r="D37" s="2683">
        <v>191</v>
      </c>
      <c r="E37" s="2683">
        <f t="shared" si="0"/>
        <v>32266</v>
      </c>
      <c r="F37" s="2684">
        <f>+F4+F7+F10+F13+F16+F19+F22+F25+F31+F28+F34</f>
        <v>31628</v>
      </c>
      <c r="G37" s="2685">
        <f>+G4+G7+G10+G13+G16+G19+G22+G25+G31+G28+G34</f>
        <v>115</v>
      </c>
      <c r="H37" s="2686">
        <f>SUM(F37:G37)</f>
        <v>31743</v>
      </c>
      <c r="I37" s="2687">
        <f t="shared" si="2"/>
        <v>-1.6209012582904636E-2</v>
      </c>
    </row>
    <row r="38" spans="1:12" ht="16.5" customHeight="1">
      <c r="A38" s="2928"/>
      <c r="B38" s="1926" t="s">
        <v>288</v>
      </c>
      <c r="C38" s="2688">
        <v>1770080</v>
      </c>
      <c r="D38" s="2689">
        <v>8202</v>
      </c>
      <c r="E38" s="2689">
        <f>SUM(C38:D38)</f>
        <v>1778282</v>
      </c>
      <c r="F38" s="2690">
        <f t="shared" ref="F38:F39" si="3">+F5+F8+F11+F14+F17+F20+F23+F26+F32+F29+F35</f>
        <v>1833852</v>
      </c>
      <c r="G38" s="2691">
        <f>+G5+G8+G11+G14+G17+G20+G23+G26+G32+G29+G35</f>
        <v>6380</v>
      </c>
      <c r="H38" s="2692">
        <f t="shared" si="1"/>
        <v>1840232</v>
      </c>
      <c r="I38" s="2693">
        <f t="shared" si="2"/>
        <v>3.4836994357475337E-2</v>
      </c>
      <c r="K38" s="79"/>
    </row>
    <row r="39" spans="1:12" ht="16.5" customHeight="1" thickBot="1">
      <c r="A39" s="2929"/>
      <c r="B39" s="1927" t="s">
        <v>104</v>
      </c>
      <c r="C39" s="2715">
        <v>636825177</v>
      </c>
      <c r="D39" s="2716">
        <v>1245055</v>
      </c>
      <c r="E39" s="2716">
        <f t="shared" si="0"/>
        <v>638070232</v>
      </c>
      <c r="F39" s="2715">
        <f t="shared" si="3"/>
        <v>488195223</v>
      </c>
      <c r="G39" s="2716">
        <f>+G6+G9+G12+G15+G18+G21+G24+G27+G33+G30+G36</f>
        <v>1471961</v>
      </c>
      <c r="H39" s="2717">
        <f t="shared" si="1"/>
        <v>489667184</v>
      </c>
      <c r="I39" s="2694">
        <f t="shared" si="2"/>
        <v>-0.23258105543466256</v>
      </c>
      <c r="J39" s="79"/>
      <c r="K39" s="77">
        <v>637814103</v>
      </c>
    </row>
    <row r="40" spans="1:12" ht="16.5" customHeight="1" thickBot="1">
      <c r="A40" s="2924" t="s">
        <v>60</v>
      </c>
      <c r="B40" s="2930"/>
      <c r="C40" s="2695">
        <f>+C39/C38</f>
        <v>359.7719747130073</v>
      </c>
      <c r="D40" s="2696">
        <f>+D39/D38</f>
        <v>151.79895147524994</v>
      </c>
      <c r="E40" s="2697">
        <f>+E39/E38</f>
        <v>358.81273723740105</v>
      </c>
      <c r="F40" s="2695">
        <f t="shared" ref="F40:H40" si="4">F39/F38</f>
        <v>266.21298937973182</v>
      </c>
      <c r="G40" s="2696">
        <f t="shared" si="4"/>
        <v>230.71489028213165</v>
      </c>
      <c r="H40" s="2697">
        <f t="shared" si="4"/>
        <v>266.08991909715729</v>
      </c>
      <c r="I40" s="2698">
        <f t="shared" ref="I40" si="5">(H40-E40)/E40</f>
        <v>-0.25841562608435392</v>
      </c>
      <c r="J40" s="79"/>
      <c r="K40" s="79">
        <f>+H39-K39</f>
        <v>-148146919</v>
      </c>
    </row>
    <row r="41" spans="1:12" ht="9.75" customHeight="1" thickBot="1">
      <c r="A41" s="2722"/>
      <c r="B41" s="1930"/>
      <c r="C41" s="2699"/>
      <c r="D41" s="2699"/>
      <c r="E41" s="2699"/>
      <c r="F41" s="2699"/>
      <c r="G41" s="2699"/>
      <c r="H41" s="2699"/>
      <c r="I41" s="2723"/>
      <c r="J41" s="79"/>
      <c r="K41" s="79"/>
      <c r="L41" s="79"/>
    </row>
    <row r="42" spans="1:12" ht="16.5" customHeight="1">
      <c r="A42" s="2931" t="s">
        <v>301</v>
      </c>
      <c r="B42" s="1931" t="s">
        <v>292</v>
      </c>
      <c r="C42" s="2646">
        <v>9791</v>
      </c>
      <c r="D42" s="2647">
        <v>98</v>
      </c>
      <c r="E42" s="2648">
        <f>SUM(C42:D42)</f>
        <v>9889</v>
      </c>
      <c r="F42" s="2646">
        <v>9613</v>
      </c>
      <c r="G42" s="2647">
        <v>93</v>
      </c>
      <c r="H42" s="2686">
        <f>SUM(F42:G42)</f>
        <v>9706</v>
      </c>
      <c r="I42" s="2700">
        <f t="shared" ref="I42:I44" si="6">IFERROR((H42/E42-1),"-")</f>
        <v>-1.8505410051572468E-2</v>
      </c>
    </row>
    <row r="43" spans="1:12" ht="16.5" customHeight="1">
      <c r="A43" s="2928"/>
      <c r="B43" s="1932" t="s">
        <v>288</v>
      </c>
      <c r="C43" s="2650">
        <v>434624</v>
      </c>
      <c r="D43" s="2651">
        <v>6142</v>
      </c>
      <c r="E43" s="2652">
        <f>SUM(C43:D43)</f>
        <v>440766</v>
      </c>
      <c r="F43" s="2650">
        <v>493488</v>
      </c>
      <c r="G43" s="2651">
        <v>5797</v>
      </c>
      <c r="H43" s="2692">
        <f t="shared" ref="H43:H44" si="7">SUM(F43:G43)</f>
        <v>499285</v>
      </c>
      <c r="I43" s="2693">
        <f t="shared" si="6"/>
        <v>0.13276659270451896</v>
      </c>
      <c r="K43" s="81"/>
    </row>
    <row r="44" spans="1:12" ht="16.5" customHeight="1" thickBot="1">
      <c r="A44" s="2932"/>
      <c r="B44" s="1933" t="s">
        <v>104</v>
      </c>
      <c r="C44" s="2718">
        <v>218276607</v>
      </c>
      <c r="D44" s="2719">
        <v>923469</v>
      </c>
      <c r="E44" s="2720">
        <f>SUM(C44:D44)</f>
        <v>219200076</v>
      </c>
      <c r="F44" s="2718">
        <v>171571522</v>
      </c>
      <c r="G44" s="2719">
        <v>869550</v>
      </c>
      <c r="H44" s="2717">
        <f t="shared" si="7"/>
        <v>172441072</v>
      </c>
      <c r="I44" s="2701">
        <f t="shared" si="6"/>
        <v>-0.21331655012747353</v>
      </c>
      <c r="K44" s="82"/>
      <c r="L44" s="79"/>
    </row>
    <row r="45" spans="1:12" ht="16.5" customHeight="1" thickBot="1">
      <c r="A45" s="2933" t="s">
        <v>60</v>
      </c>
      <c r="B45" s="2934"/>
      <c r="C45" s="2702">
        <f>+C44/C43</f>
        <v>502.21940573921364</v>
      </c>
      <c r="D45" s="2703">
        <f>+D44/D43</f>
        <v>150.35314229892543</v>
      </c>
      <c r="E45" s="2704">
        <f>+E44/E43</f>
        <v>497.3162086004819</v>
      </c>
      <c r="F45" s="2705">
        <f t="shared" ref="F45:H45" si="8">F44/F43</f>
        <v>347.67111257011317</v>
      </c>
      <c r="G45" s="2704">
        <f t="shared" si="8"/>
        <v>150</v>
      </c>
      <c r="H45" s="2706">
        <f t="shared" si="8"/>
        <v>345.37603172536728</v>
      </c>
      <c r="I45" s="2707">
        <f>(H45-E45)/E45</f>
        <v>-0.30552025903739544</v>
      </c>
      <c r="K45" s="79"/>
      <c r="L45" s="79"/>
    </row>
    <row r="46" spans="1:12" ht="8.25" customHeight="1" thickBot="1">
      <c r="A46" s="2722"/>
      <c r="B46" s="1930"/>
      <c r="C46" s="2724"/>
      <c r="D46" s="2724"/>
      <c r="E46" s="2724"/>
      <c r="F46" s="2724"/>
      <c r="G46" s="2724"/>
      <c r="H46" s="2724"/>
      <c r="I46" s="2725" t="s">
        <v>302</v>
      </c>
    </row>
    <row r="47" spans="1:12" ht="16.5" customHeight="1">
      <c r="A47" s="2931" t="s">
        <v>303</v>
      </c>
      <c r="B47" s="1931" t="s">
        <v>292</v>
      </c>
      <c r="C47" s="2708">
        <v>25869</v>
      </c>
      <c r="D47" s="2685">
        <v>3345</v>
      </c>
      <c r="E47" s="2648">
        <f>SUM(C47:D47)</f>
        <v>29214</v>
      </c>
      <c r="F47" s="2708">
        <v>24398</v>
      </c>
      <c r="G47" s="2685">
        <v>4839</v>
      </c>
      <c r="H47" s="2686">
        <f>SUM(F47:G47)</f>
        <v>29237</v>
      </c>
      <c r="I47" s="2700">
        <f>IFERROR((H47/E47-1),"-")</f>
        <v>7.8729376326425182E-4</v>
      </c>
    </row>
    <row r="48" spans="1:12" ht="16.5" customHeight="1">
      <c r="A48" s="2928"/>
      <c r="B48" s="1932" t="s">
        <v>288</v>
      </c>
      <c r="C48" s="2709">
        <v>1236609</v>
      </c>
      <c r="D48" s="2689">
        <v>195973</v>
      </c>
      <c r="E48" s="2652">
        <f>SUM(C48:D48)</f>
        <v>1432582</v>
      </c>
      <c r="F48" s="2709">
        <v>1285501</v>
      </c>
      <c r="G48" s="2689">
        <v>284933</v>
      </c>
      <c r="H48" s="2692">
        <f t="shared" ref="H48:H49" si="9">SUM(F48:G48)</f>
        <v>1570434</v>
      </c>
      <c r="I48" s="2693">
        <f t="shared" ref="I48:I49" si="10">IFERROR((H48/E48-1),"-")</f>
        <v>9.6226254413359857E-2</v>
      </c>
    </row>
    <row r="49" spans="1:13" ht="16.5" customHeight="1" thickBot="1">
      <c r="A49" s="2932"/>
      <c r="B49" s="1933" t="s">
        <v>104</v>
      </c>
      <c r="C49" s="2721">
        <v>1373221370</v>
      </c>
      <c r="D49" s="2716">
        <v>51781692</v>
      </c>
      <c r="E49" s="2712">
        <f>SUM(C49:D49)</f>
        <v>1425003062</v>
      </c>
      <c r="F49" s="2721">
        <v>1469813582</v>
      </c>
      <c r="G49" s="2716">
        <v>55535798</v>
      </c>
      <c r="H49" s="2717">
        <f t="shared" si="9"/>
        <v>1525349380</v>
      </c>
      <c r="I49" s="2701">
        <f t="shared" si="10"/>
        <v>7.0418317459025825E-2</v>
      </c>
      <c r="L49" s="79"/>
      <c r="M49" s="79"/>
    </row>
    <row r="50" spans="1:13" ht="18.75" customHeight="1" thickBot="1">
      <c r="A50" s="2933" t="s">
        <v>60</v>
      </c>
      <c r="B50" s="2934"/>
      <c r="C50" s="2695">
        <f>+C49/C48</f>
        <v>1110.4733751735594</v>
      </c>
      <c r="D50" s="2696">
        <f>+D49/D48</f>
        <v>264.22870497466488</v>
      </c>
      <c r="E50" s="2697">
        <f>+E49/E48</f>
        <v>994.70959568108492</v>
      </c>
      <c r="F50" s="2702">
        <f>F49/F48</f>
        <v>1143.3780152640877</v>
      </c>
      <c r="G50" s="2703">
        <f t="shared" ref="G50:H50" si="11">G49/G48</f>
        <v>194.90826966339455</v>
      </c>
      <c r="H50" s="2706">
        <f t="shared" si="11"/>
        <v>971.29161747644287</v>
      </c>
      <c r="I50" s="2707">
        <f>(H50-E50)/E50</f>
        <v>-2.3542527694836998E-2</v>
      </c>
    </row>
    <row r="51" spans="1:13">
      <c r="A51" s="2925" t="s">
        <v>282</v>
      </c>
      <c r="B51" s="2925"/>
      <c r="C51" s="2925"/>
      <c r="H51" s="83"/>
      <c r="L51" s="79"/>
      <c r="M51" s="79"/>
    </row>
    <row r="52" spans="1:13" ht="27" customHeight="1">
      <c r="A52" s="2926" t="s">
        <v>304</v>
      </c>
      <c r="B52" s="2926"/>
      <c r="C52" s="2926"/>
      <c r="D52" s="2926"/>
      <c r="E52" s="2926"/>
      <c r="F52" s="2926"/>
      <c r="G52" s="2926"/>
      <c r="H52" s="2926"/>
      <c r="I52" s="2926"/>
      <c r="K52" s="79"/>
      <c r="L52" s="79"/>
      <c r="M52" s="79"/>
    </row>
    <row r="53" spans="1:13">
      <c r="K53" s="81"/>
      <c r="M53" s="81"/>
    </row>
    <row r="54" spans="1:13">
      <c r="F54" s="84"/>
      <c r="G54" s="81"/>
      <c r="H54" s="79"/>
    </row>
    <row r="55" spans="1:13">
      <c r="F55" s="84"/>
      <c r="G55" s="79"/>
      <c r="H55" s="79"/>
    </row>
    <row r="56" spans="1:13">
      <c r="F56" s="84"/>
    </row>
    <row r="60" spans="1:13">
      <c r="I60" s="81"/>
      <c r="J60" s="81"/>
    </row>
  </sheetData>
  <mergeCells count="26">
    <mergeCell ref="A51:C51"/>
    <mergeCell ref="A52:I52"/>
    <mergeCell ref="A37:A39"/>
    <mergeCell ref="A40:B40"/>
    <mergeCell ref="A42:A44"/>
    <mergeCell ref="A45:B45"/>
    <mergeCell ref="A47:A49"/>
    <mergeCell ref="A50:B50"/>
    <mergeCell ref="J34:L34"/>
    <mergeCell ref="A7:A9"/>
    <mergeCell ref="K7:K10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4:A6"/>
    <mergeCell ref="A1:I1"/>
    <mergeCell ref="A2:B3"/>
    <mergeCell ref="C2:E2"/>
    <mergeCell ref="F2:H2"/>
    <mergeCell ref="I2:I3"/>
  </mergeCells>
  <printOptions horizontalCentered="1" verticalCentered="1"/>
  <pageMargins left="0.59055118110236227" right="0.59055118110236227" top="0.78740157480314965" bottom="0.78740157480314965" header="0" footer="0"/>
  <pageSetup paperSize="9" scale="85" firstPageNumber="3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V39"/>
  <sheetViews>
    <sheetView rightToLeft="1" topLeftCell="A4" workbookViewId="0">
      <selection activeCell="O30" sqref="A1:O30"/>
    </sheetView>
  </sheetViews>
  <sheetFormatPr defaultColWidth="7" defaultRowHeight="15.75"/>
  <cols>
    <col min="1" max="1" width="6.75" style="19" customWidth="1"/>
    <col min="2" max="2" width="5.375" style="19" bestFit="1" customWidth="1"/>
    <col min="3" max="3" width="6.875" style="19" customWidth="1"/>
    <col min="4" max="4" width="6" style="19" customWidth="1"/>
    <col min="5" max="5" width="6.125" style="19" customWidth="1"/>
    <col min="6" max="6" width="5.625" style="19" customWidth="1"/>
    <col min="7" max="7" width="4.625" style="19" customWidth="1"/>
    <col min="8" max="8" width="4.25" style="19" bestFit="1" customWidth="1"/>
    <col min="9" max="9" width="6" style="19" bestFit="1" customWidth="1"/>
    <col min="10" max="10" width="5.75" style="19" bestFit="1" customWidth="1"/>
    <col min="11" max="11" width="4.375" style="19" customWidth="1"/>
    <col min="12" max="12" width="5.625" style="19" bestFit="1" customWidth="1"/>
    <col min="13" max="13" width="4.625" style="19" customWidth="1"/>
    <col min="14" max="14" width="4.875" style="19" customWidth="1"/>
    <col min="15" max="15" width="6.75" style="19" bestFit="1" customWidth="1"/>
    <col min="16" max="16384" width="7" style="19"/>
  </cols>
  <sheetData>
    <row r="1" spans="1:22" ht="36" customHeight="1">
      <c r="A1" s="2936" t="s">
        <v>305</v>
      </c>
      <c r="B1" s="2936"/>
      <c r="C1" s="2936"/>
      <c r="D1" s="2936"/>
      <c r="E1" s="2936"/>
      <c r="F1" s="2936"/>
      <c r="G1" s="2936"/>
      <c r="H1" s="2936"/>
      <c r="I1" s="2936"/>
      <c r="J1" s="2936"/>
      <c r="K1" s="2936"/>
      <c r="L1" s="2936"/>
    </row>
    <row r="2" spans="1:22" ht="17.25" customHeight="1" thickBot="1">
      <c r="A2" s="2937" t="s">
        <v>306</v>
      </c>
      <c r="B2" s="2937"/>
      <c r="C2" s="2937"/>
      <c r="D2" s="2937"/>
      <c r="E2" s="2937"/>
      <c r="F2" s="2937"/>
      <c r="G2" s="2937"/>
      <c r="H2" s="2937"/>
      <c r="I2" s="2937"/>
      <c r="J2" s="2937"/>
      <c r="K2" s="2937"/>
      <c r="L2" s="2937"/>
    </row>
    <row r="3" spans="1:22" ht="51" customHeight="1" thickBot="1">
      <c r="A3" s="85" t="s">
        <v>1</v>
      </c>
      <c r="B3" s="39" t="s">
        <v>278</v>
      </c>
      <c r="C3" s="37" t="s">
        <v>133</v>
      </c>
      <c r="D3" s="37" t="s">
        <v>164</v>
      </c>
      <c r="E3" s="37" t="s">
        <v>291</v>
      </c>
      <c r="F3" s="37" t="s">
        <v>295</v>
      </c>
      <c r="G3" s="37" t="s">
        <v>307</v>
      </c>
      <c r="H3" s="37" t="s">
        <v>106</v>
      </c>
      <c r="I3" s="37" t="s">
        <v>132</v>
      </c>
      <c r="J3" s="37" t="s">
        <v>308</v>
      </c>
      <c r="K3" s="38" t="s">
        <v>309</v>
      </c>
      <c r="L3" s="85" t="s">
        <v>49</v>
      </c>
      <c r="M3" s="22"/>
    </row>
    <row r="4" spans="1:22" ht="21.75" customHeight="1">
      <c r="A4" s="86">
        <v>1392</v>
      </c>
      <c r="B4" s="87">
        <v>0</v>
      </c>
      <c r="C4" s="88">
        <v>525.34699999999998</v>
      </c>
      <c r="D4" s="88">
        <v>415.85</v>
      </c>
      <c r="E4" s="88">
        <v>855.87</v>
      </c>
      <c r="F4" s="88">
        <v>0</v>
      </c>
      <c r="G4" s="88">
        <v>0</v>
      </c>
      <c r="H4" s="88">
        <v>0</v>
      </c>
      <c r="I4" s="88">
        <v>100.809</v>
      </c>
      <c r="J4" s="88">
        <v>1.619</v>
      </c>
      <c r="K4" s="89">
        <v>0.97199999999999998</v>
      </c>
      <c r="L4" s="90">
        <f t="shared" ref="L4:L12" si="0">SUM(B4:K4)</f>
        <v>1900.4669999999999</v>
      </c>
      <c r="N4" s="26"/>
    </row>
    <row r="5" spans="1:22" ht="21.75" customHeight="1">
      <c r="A5" s="86">
        <v>1393</v>
      </c>
      <c r="B5" s="87">
        <v>0</v>
      </c>
      <c r="C5" s="88">
        <v>899</v>
      </c>
      <c r="D5" s="88">
        <v>1242</v>
      </c>
      <c r="E5" s="88">
        <v>1495</v>
      </c>
      <c r="F5" s="88">
        <v>0</v>
      </c>
      <c r="G5" s="88">
        <v>0</v>
      </c>
      <c r="H5" s="88">
        <v>0</v>
      </c>
      <c r="I5" s="88">
        <v>45</v>
      </c>
      <c r="J5" s="88">
        <v>0</v>
      </c>
      <c r="K5" s="89">
        <v>12</v>
      </c>
      <c r="L5" s="90">
        <f t="shared" si="0"/>
        <v>3693</v>
      </c>
    </row>
    <row r="6" spans="1:22" ht="21.75" customHeight="1">
      <c r="A6" s="86">
        <v>1394</v>
      </c>
      <c r="B6" s="87">
        <v>0</v>
      </c>
      <c r="C6" s="88">
        <v>428.38200000000001</v>
      </c>
      <c r="D6" s="88">
        <v>1176.5930000000001</v>
      </c>
      <c r="E6" s="88">
        <v>1499.059</v>
      </c>
      <c r="F6" s="88">
        <v>51.874000000000002</v>
      </c>
      <c r="G6" s="88">
        <v>10.355</v>
      </c>
      <c r="H6" s="88">
        <v>0</v>
      </c>
      <c r="I6" s="88">
        <v>55.534999999999997</v>
      </c>
      <c r="J6" s="88">
        <v>0</v>
      </c>
      <c r="K6" s="91">
        <v>10.727</v>
      </c>
      <c r="L6" s="90">
        <f t="shared" si="0"/>
        <v>3232.5249999999996</v>
      </c>
    </row>
    <row r="7" spans="1:22" ht="21.75" customHeight="1">
      <c r="A7" s="92">
        <v>1395</v>
      </c>
      <c r="B7" s="93">
        <v>7.5</v>
      </c>
      <c r="C7" s="94">
        <v>321</v>
      </c>
      <c r="D7" s="94">
        <v>693</v>
      </c>
      <c r="E7" s="94">
        <v>1318.5</v>
      </c>
      <c r="F7" s="94">
        <v>22</v>
      </c>
      <c r="G7" s="94">
        <v>1</v>
      </c>
      <c r="H7" s="94">
        <v>0</v>
      </c>
      <c r="I7" s="94">
        <v>97</v>
      </c>
      <c r="J7" s="94">
        <v>0</v>
      </c>
      <c r="K7" s="95">
        <v>11</v>
      </c>
      <c r="L7" s="90">
        <f t="shared" si="0"/>
        <v>2471</v>
      </c>
    </row>
    <row r="8" spans="1:22" ht="21.75" customHeight="1">
      <c r="A8" s="96">
        <v>1396</v>
      </c>
      <c r="B8" s="97">
        <v>9.1750000000000007</v>
      </c>
      <c r="C8" s="98">
        <v>280.48399999999998</v>
      </c>
      <c r="D8" s="98">
        <v>882.14499999999998</v>
      </c>
      <c r="E8" s="98">
        <v>1645.8789999999999</v>
      </c>
      <c r="F8" s="98">
        <v>58.311999999999998</v>
      </c>
      <c r="G8" s="98">
        <v>0</v>
      </c>
      <c r="H8" s="98">
        <v>0</v>
      </c>
      <c r="I8" s="98">
        <v>178.96700000000001</v>
      </c>
      <c r="J8" s="98">
        <v>0</v>
      </c>
      <c r="K8" s="99">
        <v>16.506</v>
      </c>
      <c r="L8" s="90">
        <f t="shared" si="0"/>
        <v>3071.4679999999998</v>
      </c>
    </row>
    <row r="9" spans="1:22" ht="21.75" customHeight="1">
      <c r="A9" s="100">
        <v>1397</v>
      </c>
      <c r="B9" s="87">
        <v>6</v>
      </c>
      <c r="C9" s="88">
        <v>181</v>
      </c>
      <c r="D9" s="88">
        <v>843</v>
      </c>
      <c r="E9" s="88">
        <v>1384</v>
      </c>
      <c r="F9" s="88">
        <v>105</v>
      </c>
      <c r="G9" s="88">
        <v>0</v>
      </c>
      <c r="H9" s="88">
        <v>89</v>
      </c>
      <c r="I9" s="88">
        <v>75</v>
      </c>
      <c r="J9" s="88">
        <v>0</v>
      </c>
      <c r="K9" s="101">
        <v>28</v>
      </c>
      <c r="L9" s="102">
        <f t="shared" si="0"/>
        <v>2711</v>
      </c>
      <c r="N9" s="26"/>
      <c r="O9" s="26"/>
      <c r="P9" s="26"/>
      <c r="Q9" s="26"/>
      <c r="R9" s="26"/>
      <c r="S9" s="26"/>
      <c r="T9" s="26"/>
      <c r="U9" s="26"/>
      <c r="V9" s="26"/>
    </row>
    <row r="10" spans="1:22" ht="21.75" customHeight="1">
      <c r="A10" s="100">
        <v>1398</v>
      </c>
      <c r="B10" s="87">
        <v>7.2679999999999998</v>
      </c>
      <c r="C10" s="88">
        <v>216.19399999999999</v>
      </c>
      <c r="D10" s="88">
        <v>533.89</v>
      </c>
      <c r="E10" s="88">
        <v>1390.6790000000001</v>
      </c>
      <c r="F10" s="88">
        <v>36.103000000000002</v>
      </c>
      <c r="G10" s="88">
        <v>0</v>
      </c>
      <c r="H10" s="88">
        <v>176.245</v>
      </c>
      <c r="I10" s="88">
        <v>76.67</v>
      </c>
      <c r="J10" s="88">
        <v>0</v>
      </c>
      <c r="K10" s="101">
        <v>7.5350000000000001</v>
      </c>
      <c r="L10" s="103">
        <f t="shared" si="0"/>
        <v>2444.5839999999998</v>
      </c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21.75" customHeight="1">
      <c r="A11" s="100">
        <v>1399</v>
      </c>
      <c r="B11" s="87">
        <v>0</v>
      </c>
      <c r="C11" s="88">
        <v>137.55699999999999</v>
      </c>
      <c r="D11" s="88">
        <v>1031.001</v>
      </c>
      <c r="E11" s="88">
        <v>2071.4459999999999</v>
      </c>
      <c r="F11" s="88">
        <v>7.14</v>
      </c>
      <c r="G11" s="88">
        <v>0</v>
      </c>
      <c r="H11" s="88">
        <v>145.48599999999999</v>
      </c>
      <c r="I11" s="88">
        <v>200.17500000000001</v>
      </c>
      <c r="J11" s="88">
        <v>0</v>
      </c>
      <c r="K11" s="101">
        <v>25.3</v>
      </c>
      <c r="L11" s="103">
        <f t="shared" si="0"/>
        <v>3618.105</v>
      </c>
      <c r="P11" s="26"/>
      <c r="U11" s="26"/>
    </row>
    <row r="12" spans="1:22" ht="21.75" customHeight="1">
      <c r="A12" s="100">
        <v>1400</v>
      </c>
      <c r="B12" s="87">
        <v>16.081</v>
      </c>
      <c r="C12" s="88">
        <v>143.58799999999999</v>
      </c>
      <c r="D12" s="88">
        <v>976.05</v>
      </c>
      <c r="E12" s="88">
        <v>2094.0050000000001</v>
      </c>
      <c r="F12" s="88">
        <v>18.164000000000001</v>
      </c>
      <c r="G12" s="88">
        <v>0</v>
      </c>
      <c r="H12" s="88">
        <v>151.83099999999999</v>
      </c>
      <c r="I12" s="88">
        <v>191.38499999999999</v>
      </c>
      <c r="J12" s="88">
        <v>5.5E-2</v>
      </c>
      <c r="K12" s="91">
        <v>15.404</v>
      </c>
      <c r="L12" s="104">
        <f t="shared" si="0"/>
        <v>3606.5630000000001</v>
      </c>
      <c r="M12" s="105"/>
      <c r="N12" s="26"/>
      <c r="U12" s="26"/>
    </row>
    <row r="13" spans="1:22" ht="21.75" customHeight="1" thickBot="1">
      <c r="A13" s="106">
        <v>1401</v>
      </c>
      <c r="B13" s="107">
        <v>13.638999999999999</v>
      </c>
      <c r="C13" s="108">
        <v>99.95</v>
      </c>
      <c r="D13" s="108">
        <v>0</v>
      </c>
      <c r="E13" s="108">
        <v>0</v>
      </c>
      <c r="F13" s="108">
        <v>14.618</v>
      </c>
      <c r="G13" s="108">
        <v>0</v>
      </c>
      <c r="H13" s="108">
        <v>151.65899999999999</v>
      </c>
      <c r="I13" s="108">
        <v>160.9</v>
      </c>
      <c r="J13" s="108">
        <v>0</v>
      </c>
      <c r="K13" s="109">
        <v>0</v>
      </c>
      <c r="L13" s="110">
        <f t="shared" ref="L13:L14" si="1">SUM(B13:K13)</f>
        <v>440.76599999999996</v>
      </c>
      <c r="N13" s="26"/>
      <c r="P13" s="26"/>
      <c r="U13" s="26"/>
    </row>
    <row r="14" spans="1:22" ht="21.75" customHeight="1" thickBot="1">
      <c r="A14" s="1934">
        <v>1402</v>
      </c>
      <c r="B14" s="1935">
        <v>0.874</v>
      </c>
      <c r="C14" s="1936">
        <v>87.74</v>
      </c>
      <c r="D14" s="1936">
        <v>5.5E-2</v>
      </c>
      <c r="E14" s="1936">
        <v>0</v>
      </c>
      <c r="F14" s="1936">
        <v>21.37</v>
      </c>
      <c r="G14" s="1936">
        <v>0</v>
      </c>
      <c r="H14" s="1936">
        <v>231.92500000000001</v>
      </c>
      <c r="I14" s="1936">
        <v>157.30699999999999</v>
      </c>
      <c r="J14" s="1936">
        <v>0</v>
      </c>
      <c r="K14" s="1937">
        <v>1.4E-2</v>
      </c>
      <c r="L14" s="1938">
        <f t="shared" si="1"/>
        <v>499.28499999999997</v>
      </c>
      <c r="N14" s="26"/>
      <c r="P14" s="26"/>
      <c r="U14" s="26"/>
    </row>
    <row r="15" spans="1:22" ht="9" customHeight="1">
      <c r="O15" s="26"/>
      <c r="U15" s="26"/>
    </row>
    <row r="16" spans="1:22" ht="37.5" customHeight="1">
      <c r="A16" s="2936" t="s">
        <v>310</v>
      </c>
      <c r="B16" s="2936"/>
      <c r="C16" s="2936"/>
      <c r="D16" s="2936"/>
      <c r="E16" s="2936"/>
      <c r="F16" s="2936"/>
      <c r="G16" s="2936"/>
      <c r="H16" s="2936"/>
      <c r="I16" s="2936"/>
      <c r="J16" s="2936"/>
      <c r="K16" s="2936"/>
      <c r="L16" s="2936"/>
      <c r="O16" s="26"/>
      <c r="U16" s="26"/>
    </row>
    <row r="17" spans="1:19" ht="17.25" customHeight="1" thickBot="1">
      <c r="A17" s="2938" t="s">
        <v>306</v>
      </c>
      <c r="B17" s="2938"/>
      <c r="C17" s="2938"/>
      <c r="D17" s="2938"/>
      <c r="E17" s="2938"/>
      <c r="F17" s="2938"/>
      <c r="G17" s="2938"/>
      <c r="H17" s="2938"/>
      <c r="I17" s="2938"/>
      <c r="J17" s="2938"/>
      <c r="K17" s="2938"/>
      <c r="L17" s="2938"/>
      <c r="M17" s="2938"/>
    </row>
    <row r="18" spans="1:19" ht="51" customHeight="1" thickBot="1">
      <c r="A18" s="85" t="s">
        <v>1</v>
      </c>
      <c r="B18" s="39" t="s">
        <v>278</v>
      </c>
      <c r="C18" s="37" t="s">
        <v>133</v>
      </c>
      <c r="D18" s="37" t="s">
        <v>164</v>
      </c>
      <c r="E18" s="37" t="s">
        <v>291</v>
      </c>
      <c r="F18" s="37" t="s">
        <v>311</v>
      </c>
      <c r="G18" s="37" t="s">
        <v>196</v>
      </c>
      <c r="H18" s="37" t="s">
        <v>106</v>
      </c>
      <c r="I18" s="37" t="s">
        <v>132</v>
      </c>
      <c r="J18" s="37" t="s">
        <v>296</v>
      </c>
      <c r="K18" s="37" t="s">
        <v>297</v>
      </c>
      <c r="L18" s="37" t="s">
        <v>308</v>
      </c>
      <c r="M18" s="38" t="s">
        <v>309</v>
      </c>
      <c r="N18" s="38" t="s">
        <v>298</v>
      </c>
      <c r="O18" s="85" t="s">
        <v>49</v>
      </c>
    </row>
    <row r="19" spans="1:19" ht="21.75" customHeight="1">
      <c r="A19" s="86">
        <v>1392</v>
      </c>
      <c r="B19" s="87">
        <v>0.184</v>
      </c>
      <c r="C19" s="88">
        <v>782.50699999999995</v>
      </c>
      <c r="D19" s="88">
        <v>4915.5870000000004</v>
      </c>
      <c r="E19" s="88">
        <v>356.78199999999998</v>
      </c>
      <c r="F19" s="88">
        <v>0</v>
      </c>
      <c r="G19" s="88">
        <v>0</v>
      </c>
      <c r="H19" s="88">
        <v>0</v>
      </c>
      <c r="I19" s="88">
        <v>108.973</v>
      </c>
      <c r="J19" s="88">
        <v>0</v>
      </c>
      <c r="K19" s="88">
        <v>0</v>
      </c>
      <c r="L19" s="88">
        <v>167.36799999999999</v>
      </c>
      <c r="M19" s="91">
        <v>125.886</v>
      </c>
      <c r="N19" s="101">
        <v>0</v>
      </c>
      <c r="O19" s="90">
        <f t="shared" ref="O19:O29" si="2">SUM(B19:N19)</f>
        <v>6457.2870000000012</v>
      </c>
    </row>
    <row r="20" spans="1:19" ht="21.75" customHeight="1">
      <c r="A20" s="86">
        <v>1393</v>
      </c>
      <c r="B20" s="87">
        <v>1</v>
      </c>
      <c r="C20" s="88">
        <v>984</v>
      </c>
      <c r="D20" s="88">
        <v>4508</v>
      </c>
      <c r="E20" s="88">
        <v>813</v>
      </c>
      <c r="F20" s="88">
        <v>0</v>
      </c>
      <c r="G20" s="88">
        <v>0</v>
      </c>
      <c r="H20" s="88">
        <v>0</v>
      </c>
      <c r="I20" s="88">
        <v>94</v>
      </c>
      <c r="J20" s="88">
        <v>105</v>
      </c>
      <c r="K20" s="88">
        <v>0</v>
      </c>
      <c r="L20" s="88">
        <v>79</v>
      </c>
      <c r="M20" s="91">
        <v>98</v>
      </c>
      <c r="N20" s="91">
        <v>0</v>
      </c>
      <c r="O20" s="90">
        <f t="shared" si="2"/>
        <v>6682</v>
      </c>
    </row>
    <row r="21" spans="1:19" ht="21.75" customHeight="1">
      <c r="A21" s="92">
        <v>1394</v>
      </c>
      <c r="B21" s="93">
        <v>1.1479999999999999</v>
      </c>
      <c r="C21" s="94">
        <v>571.79600000000005</v>
      </c>
      <c r="D21" s="94">
        <v>4489.6490000000003</v>
      </c>
      <c r="E21" s="94">
        <v>1390.405</v>
      </c>
      <c r="F21" s="94">
        <v>2.2959999999999998</v>
      </c>
      <c r="G21" s="94">
        <v>0</v>
      </c>
      <c r="H21" s="94">
        <v>0</v>
      </c>
      <c r="I21" s="94">
        <v>92.882999999999996</v>
      </c>
      <c r="J21" s="94">
        <v>792.27499999999998</v>
      </c>
      <c r="K21" s="94">
        <v>0</v>
      </c>
      <c r="L21" s="94">
        <v>2.97</v>
      </c>
      <c r="M21" s="95">
        <v>1.389</v>
      </c>
      <c r="N21" s="95">
        <v>0</v>
      </c>
      <c r="O21" s="90">
        <f t="shared" si="2"/>
        <v>7344.8110000000006</v>
      </c>
    </row>
    <row r="22" spans="1:19" ht="21.75" customHeight="1">
      <c r="A22" s="86">
        <v>1395</v>
      </c>
      <c r="B22" s="87">
        <v>17</v>
      </c>
      <c r="C22" s="88">
        <v>539</v>
      </c>
      <c r="D22" s="88">
        <v>7926</v>
      </c>
      <c r="E22" s="88">
        <v>1379</v>
      </c>
      <c r="F22" s="88">
        <v>21</v>
      </c>
      <c r="G22" s="88">
        <v>0</v>
      </c>
      <c r="H22" s="88">
        <v>0</v>
      </c>
      <c r="I22" s="88">
        <v>55</v>
      </c>
      <c r="J22" s="88">
        <v>1158</v>
      </c>
      <c r="K22" s="88">
        <v>0</v>
      </c>
      <c r="L22" s="88">
        <v>3</v>
      </c>
      <c r="M22" s="91">
        <v>0</v>
      </c>
      <c r="N22" s="101">
        <v>0</v>
      </c>
      <c r="O22" s="90">
        <f t="shared" si="2"/>
        <v>11098</v>
      </c>
    </row>
    <row r="23" spans="1:19" ht="21.75" customHeight="1">
      <c r="A23" s="86">
        <v>1396</v>
      </c>
      <c r="B23" s="87">
        <v>33</v>
      </c>
      <c r="C23" s="88">
        <v>387</v>
      </c>
      <c r="D23" s="88">
        <v>8245</v>
      </c>
      <c r="E23" s="88">
        <v>2290</v>
      </c>
      <c r="F23" s="88">
        <v>17</v>
      </c>
      <c r="G23" s="88">
        <v>0</v>
      </c>
      <c r="H23" s="88">
        <v>0</v>
      </c>
      <c r="I23" s="88">
        <v>25</v>
      </c>
      <c r="J23" s="88">
        <v>999</v>
      </c>
      <c r="K23" s="88">
        <v>0</v>
      </c>
      <c r="L23" s="88">
        <v>0</v>
      </c>
      <c r="M23" s="91">
        <v>0</v>
      </c>
      <c r="N23" s="101">
        <v>0</v>
      </c>
      <c r="O23" s="90">
        <f t="shared" si="2"/>
        <v>11996</v>
      </c>
    </row>
    <row r="24" spans="1:19" ht="21.75" customHeight="1">
      <c r="A24" s="86">
        <v>1397</v>
      </c>
      <c r="B24" s="87">
        <v>40</v>
      </c>
      <c r="C24" s="88">
        <v>641</v>
      </c>
      <c r="D24" s="88">
        <v>7819</v>
      </c>
      <c r="E24" s="88">
        <v>2249</v>
      </c>
      <c r="F24" s="88">
        <v>54</v>
      </c>
      <c r="G24" s="88">
        <v>0</v>
      </c>
      <c r="H24" s="88">
        <v>114</v>
      </c>
      <c r="I24" s="88">
        <v>101</v>
      </c>
      <c r="J24" s="88">
        <v>1091</v>
      </c>
      <c r="K24" s="88">
        <v>0</v>
      </c>
      <c r="L24" s="88">
        <v>0</v>
      </c>
      <c r="M24" s="91">
        <v>12</v>
      </c>
      <c r="N24" s="101">
        <v>0</v>
      </c>
      <c r="O24" s="90">
        <f t="shared" si="2"/>
        <v>12121</v>
      </c>
    </row>
    <row r="25" spans="1:19" ht="21.75" customHeight="1">
      <c r="A25" s="86">
        <v>1398</v>
      </c>
      <c r="B25" s="111">
        <v>18.84</v>
      </c>
      <c r="C25" s="112">
        <v>1045.662</v>
      </c>
      <c r="D25" s="112">
        <v>6727.9120000000003</v>
      </c>
      <c r="E25" s="112">
        <v>1925.0930000000001</v>
      </c>
      <c r="F25" s="112">
        <v>119.851</v>
      </c>
      <c r="G25" s="112">
        <v>0</v>
      </c>
      <c r="H25" s="112">
        <v>163.238</v>
      </c>
      <c r="I25" s="112">
        <v>101.86</v>
      </c>
      <c r="J25" s="112">
        <v>960.70399999999995</v>
      </c>
      <c r="K25" s="112">
        <v>0</v>
      </c>
      <c r="L25" s="112">
        <v>0</v>
      </c>
      <c r="M25" s="113">
        <v>28.277999999999999</v>
      </c>
      <c r="N25" s="114">
        <v>0</v>
      </c>
      <c r="O25" s="104">
        <f t="shared" si="2"/>
        <v>11091.438000000002</v>
      </c>
    </row>
    <row r="26" spans="1:19" ht="21.75" customHeight="1">
      <c r="A26" s="115">
        <v>1399</v>
      </c>
      <c r="B26" s="116">
        <v>19.38</v>
      </c>
      <c r="C26" s="117">
        <v>770.02800000000002</v>
      </c>
      <c r="D26" s="117">
        <v>4934.8389999999999</v>
      </c>
      <c r="E26" s="117">
        <v>1939.587</v>
      </c>
      <c r="F26" s="117">
        <v>257.78100000000001</v>
      </c>
      <c r="G26" s="117">
        <v>0</v>
      </c>
      <c r="H26" s="117">
        <v>237.03200000000001</v>
      </c>
      <c r="I26" s="117">
        <v>226.05600000000001</v>
      </c>
      <c r="J26" s="117">
        <v>597.31899999999996</v>
      </c>
      <c r="K26" s="117">
        <v>106.473</v>
      </c>
      <c r="L26" s="117">
        <v>0</v>
      </c>
      <c r="M26" s="118">
        <v>54.466000000000001</v>
      </c>
      <c r="N26" s="119">
        <v>0</v>
      </c>
      <c r="O26" s="102">
        <f t="shared" si="2"/>
        <v>9142.9610000000011</v>
      </c>
      <c r="Q26" s="26"/>
      <c r="S26" s="26"/>
    </row>
    <row r="27" spans="1:19" ht="21.75" customHeight="1">
      <c r="A27" s="86">
        <v>1400</v>
      </c>
      <c r="B27" s="111">
        <v>4.117</v>
      </c>
      <c r="C27" s="112">
        <v>1108.931</v>
      </c>
      <c r="D27" s="112">
        <v>4139.9719999999998</v>
      </c>
      <c r="E27" s="112">
        <v>2569.8310000000001</v>
      </c>
      <c r="F27" s="112">
        <v>369.53399999999999</v>
      </c>
      <c r="G27" s="112">
        <v>0</v>
      </c>
      <c r="H27" s="112">
        <v>182.054</v>
      </c>
      <c r="I27" s="112">
        <v>285.98599999999999</v>
      </c>
      <c r="J27" s="112">
        <v>605.77</v>
      </c>
      <c r="K27" s="112">
        <v>234.80099999999999</v>
      </c>
      <c r="L27" s="112">
        <v>0</v>
      </c>
      <c r="M27" s="113">
        <v>42.368000000000002</v>
      </c>
      <c r="N27" s="114">
        <v>0</v>
      </c>
      <c r="O27" s="104">
        <f t="shared" si="2"/>
        <v>9543.3640000000014</v>
      </c>
      <c r="S27" s="26"/>
    </row>
    <row r="28" spans="1:19" ht="21.75" customHeight="1" thickBot="1">
      <c r="A28" s="120">
        <v>1401</v>
      </c>
      <c r="B28" s="121">
        <v>39.473999999999997</v>
      </c>
      <c r="C28" s="122">
        <v>896.49699999999996</v>
      </c>
      <c r="D28" s="122">
        <v>0.04</v>
      </c>
      <c r="E28" s="122">
        <v>0</v>
      </c>
      <c r="F28" s="122">
        <v>311.95</v>
      </c>
      <c r="G28" s="122">
        <v>0</v>
      </c>
      <c r="H28" s="122">
        <v>199.15100000000001</v>
      </c>
      <c r="I28" s="122">
        <v>330.31400000000002</v>
      </c>
      <c r="J28" s="122">
        <v>0</v>
      </c>
      <c r="K28" s="122">
        <v>0</v>
      </c>
      <c r="L28" s="122">
        <v>0</v>
      </c>
      <c r="M28" s="123">
        <v>0</v>
      </c>
      <c r="N28" s="123">
        <v>0.89600000000000002</v>
      </c>
      <c r="O28" s="124">
        <f t="shared" si="2"/>
        <v>1778.3220000000001</v>
      </c>
    </row>
    <row r="29" spans="1:19" ht="21.75" customHeight="1" thickBot="1">
      <c r="A29" s="1939">
        <v>1402</v>
      </c>
      <c r="B29" s="1940">
        <v>29.821999999999999</v>
      </c>
      <c r="C29" s="1941">
        <v>1044</v>
      </c>
      <c r="D29" s="1942">
        <v>0.17599999999999999</v>
      </c>
      <c r="E29" s="1942">
        <v>0</v>
      </c>
      <c r="F29" s="1942">
        <v>395.62700000000001</v>
      </c>
      <c r="G29" s="1942">
        <v>0.28000000000000003</v>
      </c>
      <c r="H29" s="1942">
        <v>183.589</v>
      </c>
      <c r="I29" s="1942">
        <v>176.60499999999999</v>
      </c>
      <c r="J29" s="1942">
        <v>0</v>
      </c>
      <c r="K29" s="1942">
        <v>0</v>
      </c>
      <c r="L29" s="1942">
        <v>0</v>
      </c>
      <c r="M29" s="1943">
        <v>0</v>
      </c>
      <c r="N29" s="1944">
        <v>10</v>
      </c>
      <c r="O29" s="1945">
        <f t="shared" si="2"/>
        <v>1840.0989999999997</v>
      </c>
    </row>
    <row r="30" spans="1:19" ht="18.75" customHeight="1">
      <c r="A30" s="2896" t="s">
        <v>282</v>
      </c>
      <c r="B30" s="2896"/>
      <c r="C30" s="2896"/>
      <c r="O30" s="75"/>
    </row>
    <row r="31" spans="1:19">
      <c r="H31" s="26"/>
    </row>
    <row r="32" spans="1:19">
      <c r="B32" s="2935"/>
      <c r="C32" s="2935"/>
      <c r="D32" s="2935"/>
      <c r="E32" s="2935"/>
      <c r="K32" s="26"/>
    </row>
    <row r="34" spans="4:13">
      <c r="D34" s="26"/>
      <c r="H34" s="26"/>
    </row>
    <row r="35" spans="4:13">
      <c r="D35" s="26"/>
    </row>
    <row r="39" spans="4:13">
      <c r="K39" s="26"/>
      <c r="M39" s="26"/>
    </row>
  </sheetData>
  <mergeCells count="6">
    <mergeCell ref="B32:E32"/>
    <mergeCell ref="A1:L1"/>
    <mergeCell ref="A2:L2"/>
    <mergeCell ref="A16:L16"/>
    <mergeCell ref="A17:M17"/>
    <mergeCell ref="A30:C30"/>
  </mergeCells>
  <printOptions horizontalCentered="1"/>
  <pageMargins left="0.59055118110236227" right="0.59055118110236227" top="0.98425196850393704" bottom="0.98425196850393704" header="0.51181102362204722" footer="0.51181102362204722"/>
  <pageSetup paperSize="9" firstPageNumber="3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5:AL98"/>
  <sheetViews>
    <sheetView rightToLeft="1" topLeftCell="R1" zoomScaleNormal="100" workbookViewId="0">
      <selection activeCell="Z38" sqref="Z1:AD38"/>
    </sheetView>
  </sheetViews>
  <sheetFormatPr defaultColWidth="7" defaultRowHeight="15.75"/>
  <cols>
    <col min="1" max="1" width="12" style="77" customWidth="1"/>
    <col min="2" max="4" width="14.875" style="77" customWidth="1"/>
    <col min="5" max="5" width="11.75" style="77" customWidth="1"/>
    <col min="6" max="6" width="15" style="77" customWidth="1"/>
    <col min="7" max="9" width="15.25" style="77" customWidth="1"/>
    <col min="10" max="10" width="12.25" style="77" customWidth="1"/>
    <col min="11" max="14" width="15" style="77" customWidth="1"/>
    <col min="15" max="15" width="11.25" style="77" customWidth="1"/>
    <col min="16" max="19" width="15" style="77" customWidth="1"/>
    <col min="20" max="20" width="11.25" style="77" customWidth="1"/>
    <col min="21" max="24" width="15" style="77" customWidth="1"/>
    <col min="25" max="25" width="11.25" style="77" customWidth="1"/>
    <col min="26" max="29" width="15" style="77" customWidth="1"/>
    <col min="30" max="30" width="11.25" style="77" customWidth="1"/>
    <col min="31" max="32" width="8.375" style="77" bestFit="1" customWidth="1"/>
    <col min="33" max="33" width="7" style="77"/>
    <col min="34" max="34" width="9.375" style="77" bestFit="1" customWidth="1"/>
    <col min="35" max="16384" width="7" style="77"/>
  </cols>
  <sheetData>
    <row r="15" spans="38:38">
      <c r="AL15" s="77">
        <f>90*15000</f>
        <v>1350000</v>
      </c>
    </row>
    <row r="22" spans="1:34" s="125" customFormat="1" ht="26.25" customHeight="1" thickBot="1">
      <c r="A22" s="2939" t="s">
        <v>312</v>
      </c>
      <c r="B22" s="2939"/>
      <c r="C22" s="2939"/>
      <c r="D22" s="2939"/>
      <c r="E22" s="2939"/>
      <c r="F22" s="2939" t="s">
        <v>313</v>
      </c>
      <c r="G22" s="2939"/>
      <c r="H22" s="2939"/>
      <c r="I22" s="2939"/>
      <c r="J22" s="2939"/>
      <c r="K22" s="2939" t="s">
        <v>314</v>
      </c>
      <c r="L22" s="2939"/>
      <c r="M22" s="2939"/>
      <c r="N22" s="2939"/>
      <c r="O22" s="2939"/>
      <c r="P22" s="2939" t="s">
        <v>315</v>
      </c>
      <c r="Q22" s="2939"/>
      <c r="R22" s="2939"/>
      <c r="S22" s="2939"/>
      <c r="T22" s="2939"/>
      <c r="U22" s="2939" t="s">
        <v>316</v>
      </c>
      <c r="V22" s="2939"/>
      <c r="W22" s="2939"/>
      <c r="X22" s="2939"/>
      <c r="Y22" s="2939"/>
      <c r="Z22" s="2939" t="s">
        <v>317</v>
      </c>
      <c r="AA22" s="2939"/>
      <c r="AB22" s="2939"/>
      <c r="AC22" s="2939"/>
      <c r="AD22" s="2939"/>
    </row>
    <row r="23" spans="1:34">
      <c r="A23" s="2942" t="s">
        <v>1</v>
      </c>
      <c r="B23" s="2944" t="s">
        <v>283</v>
      </c>
      <c r="C23" s="2940"/>
      <c r="D23" s="2945" t="s">
        <v>318</v>
      </c>
      <c r="E23" s="2940" t="s">
        <v>284</v>
      </c>
      <c r="F23" s="2942" t="s">
        <v>1</v>
      </c>
      <c r="G23" s="2944" t="s">
        <v>283</v>
      </c>
      <c r="H23" s="2940"/>
      <c r="I23" s="2945" t="s">
        <v>318</v>
      </c>
      <c r="J23" s="2940" t="s">
        <v>284</v>
      </c>
      <c r="K23" s="2942" t="s">
        <v>1</v>
      </c>
      <c r="L23" s="2944" t="s">
        <v>283</v>
      </c>
      <c r="M23" s="2940"/>
      <c r="N23" s="2945" t="s">
        <v>318</v>
      </c>
      <c r="O23" s="2940" t="s">
        <v>284</v>
      </c>
      <c r="P23" s="2942" t="s">
        <v>1</v>
      </c>
      <c r="Q23" s="2944" t="s">
        <v>283</v>
      </c>
      <c r="R23" s="2948"/>
      <c r="S23" s="2944" t="s">
        <v>318</v>
      </c>
      <c r="T23" s="2940" t="s">
        <v>284</v>
      </c>
      <c r="U23" s="2942" t="s">
        <v>1</v>
      </c>
      <c r="V23" s="2944" t="s">
        <v>283</v>
      </c>
      <c r="W23" s="2940"/>
      <c r="X23" s="2945" t="s">
        <v>318</v>
      </c>
      <c r="Y23" s="2940" t="s">
        <v>284</v>
      </c>
      <c r="Z23" s="2942" t="s">
        <v>1</v>
      </c>
      <c r="AA23" s="2944" t="s">
        <v>283</v>
      </c>
      <c r="AB23" s="2940"/>
      <c r="AC23" s="2944" t="s">
        <v>318</v>
      </c>
      <c r="AD23" s="2940" t="s">
        <v>284</v>
      </c>
    </row>
    <row r="24" spans="1:34" ht="16.5" thickBot="1">
      <c r="A24" s="2943"/>
      <c r="B24" s="2517">
        <v>1401</v>
      </c>
      <c r="C24" s="2514">
        <v>1402</v>
      </c>
      <c r="D24" s="2946"/>
      <c r="E24" s="2941"/>
      <c r="F24" s="2943"/>
      <c r="G24" s="126">
        <v>1401</v>
      </c>
      <c r="H24" s="78">
        <v>1402</v>
      </c>
      <c r="I24" s="2946"/>
      <c r="J24" s="2941"/>
      <c r="K24" s="2943"/>
      <c r="L24" s="126">
        <v>1401</v>
      </c>
      <c r="M24" s="78">
        <v>1402</v>
      </c>
      <c r="N24" s="2946"/>
      <c r="O24" s="2941"/>
      <c r="P24" s="2943"/>
      <c r="Q24" s="2524">
        <v>1401</v>
      </c>
      <c r="R24" s="2524">
        <v>1402</v>
      </c>
      <c r="S24" s="2949"/>
      <c r="T24" s="2947"/>
      <c r="U24" s="2943"/>
      <c r="V24" s="126">
        <v>1401</v>
      </c>
      <c r="W24" s="78">
        <v>1402</v>
      </c>
      <c r="X24" s="2946"/>
      <c r="Y24" s="2941"/>
      <c r="Z24" s="2943"/>
      <c r="AA24" s="126">
        <v>1401</v>
      </c>
      <c r="AB24" s="78">
        <v>1402</v>
      </c>
      <c r="AC24" s="2949"/>
      <c r="AD24" s="2947"/>
    </row>
    <row r="25" spans="1:34" ht="18">
      <c r="A25" s="127" t="s">
        <v>291</v>
      </c>
      <c r="B25" s="2726">
        <v>0</v>
      </c>
      <c r="C25" s="128">
        <v>0</v>
      </c>
      <c r="D25" s="129">
        <f t="shared" ref="D25:D34" si="0">C25-B25</f>
        <v>0</v>
      </c>
      <c r="E25" s="130" t="str">
        <f>IFERROR(C25/B25-1,"---")</f>
        <v>---</v>
      </c>
      <c r="F25" s="2515" t="s">
        <v>291</v>
      </c>
      <c r="G25" s="131">
        <v>0</v>
      </c>
      <c r="H25" s="131">
        <v>0</v>
      </c>
      <c r="I25" s="129">
        <f t="shared" ref="I25:I36" si="1">H25-G25</f>
        <v>0</v>
      </c>
      <c r="J25" s="130" t="str">
        <f>IFERROR(H25/G25-1,"---")</f>
        <v>---</v>
      </c>
      <c r="K25" s="127" t="s">
        <v>291</v>
      </c>
      <c r="L25" s="132">
        <v>0</v>
      </c>
      <c r="M25" s="133">
        <v>0</v>
      </c>
      <c r="N25" s="134">
        <f t="shared" ref="N25:N34" si="2">M25-L25</f>
        <v>0</v>
      </c>
      <c r="O25" s="130" t="str">
        <f>IFERROR(M25/L25-1,"---")</f>
        <v>---</v>
      </c>
      <c r="P25" s="2515" t="s">
        <v>291</v>
      </c>
      <c r="Q25" s="135">
        <v>0</v>
      </c>
      <c r="R25" s="135">
        <v>0</v>
      </c>
      <c r="S25" s="136">
        <f t="shared" ref="S25:S36" si="3">R25-Q25</f>
        <v>0</v>
      </c>
      <c r="T25" s="137" t="str">
        <f>IFERROR(R25/Q25-1,"---")</f>
        <v>---</v>
      </c>
      <c r="U25" s="2515" t="s">
        <v>291</v>
      </c>
      <c r="V25" s="132">
        <v>0</v>
      </c>
      <c r="W25" s="133">
        <v>0</v>
      </c>
      <c r="X25" s="138">
        <f t="shared" ref="X25:X34" si="4">W25-V25</f>
        <v>0</v>
      </c>
      <c r="Y25" s="130" t="str">
        <f>IFERROR(W25/V25-1,"---")</f>
        <v>---</v>
      </c>
      <c r="Z25" s="127" t="s">
        <v>291</v>
      </c>
      <c r="AA25" s="139">
        <v>0</v>
      </c>
      <c r="AB25" s="140">
        <v>0</v>
      </c>
      <c r="AC25" s="141">
        <f t="shared" ref="AC25:AC36" si="5">AB25-AA25</f>
        <v>0</v>
      </c>
      <c r="AD25" s="137" t="str">
        <f>IFERROR(AB25/AA25-1,"---")</f>
        <v>---</v>
      </c>
    </row>
    <row r="26" spans="1:34" ht="18">
      <c r="A26" s="142" t="s">
        <v>295</v>
      </c>
      <c r="B26" s="2727">
        <v>288</v>
      </c>
      <c r="C26" s="143">
        <v>395</v>
      </c>
      <c r="D26" s="144">
        <f t="shared" si="0"/>
        <v>107</v>
      </c>
      <c r="E26" s="145">
        <f t="shared" ref="E26:E34" si="6">IFERROR(C26/B26-1,"---")</f>
        <v>0.37152777777777768</v>
      </c>
      <c r="F26" s="142" t="s">
        <v>296</v>
      </c>
      <c r="G26" s="146">
        <v>0</v>
      </c>
      <c r="H26" s="146">
        <v>0</v>
      </c>
      <c r="I26" s="144">
        <f t="shared" si="1"/>
        <v>0</v>
      </c>
      <c r="J26" s="145" t="str">
        <f>IFERROR(H26/G26-1,"---")</f>
        <v>---</v>
      </c>
      <c r="K26" s="142" t="s">
        <v>295</v>
      </c>
      <c r="L26" s="147">
        <v>14618</v>
      </c>
      <c r="M26" s="148">
        <v>21370</v>
      </c>
      <c r="N26" s="149">
        <f t="shared" si="2"/>
        <v>6752</v>
      </c>
      <c r="O26" s="145">
        <f t="shared" ref="O26:O34" si="7">IFERROR(M26/L26-1,"---")</f>
        <v>0.46189629224244078</v>
      </c>
      <c r="P26" s="142" t="s">
        <v>296</v>
      </c>
      <c r="Q26" s="150">
        <v>0</v>
      </c>
      <c r="R26" s="150">
        <v>0</v>
      </c>
      <c r="S26" s="151">
        <f t="shared" si="3"/>
        <v>0</v>
      </c>
      <c r="T26" s="145" t="str">
        <f>IFERROR(R26/Q26-1,"---")</f>
        <v>---</v>
      </c>
      <c r="U26" s="142" t="s">
        <v>295</v>
      </c>
      <c r="V26" s="147">
        <v>2701851</v>
      </c>
      <c r="W26" s="148">
        <v>3788147</v>
      </c>
      <c r="X26" s="149">
        <f t="shared" si="4"/>
        <v>1086296</v>
      </c>
      <c r="Y26" s="145">
        <f t="shared" ref="Y26:Y34" si="8">IFERROR(W26/V26-1,"---")</f>
        <v>0.40205621997660113</v>
      </c>
      <c r="Z26" s="142" t="s">
        <v>296</v>
      </c>
      <c r="AA26" s="152">
        <v>0</v>
      </c>
      <c r="AB26" s="153">
        <v>0</v>
      </c>
      <c r="AC26" s="154">
        <f t="shared" si="5"/>
        <v>0</v>
      </c>
      <c r="AD26" s="145" t="str">
        <f>IFERROR(AB26/AA26-1,"---")</f>
        <v>---</v>
      </c>
    </row>
    <row r="27" spans="1:34" ht="18">
      <c r="A27" s="155" t="s">
        <v>164</v>
      </c>
      <c r="B27" s="2728">
        <v>0</v>
      </c>
      <c r="C27" s="156">
        <v>1</v>
      </c>
      <c r="D27" s="144">
        <f t="shared" si="0"/>
        <v>1</v>
      </c>
      <c r="E27" s="145" t="str">
        <f t="shared" si="6"/>
        <v>---</v>
      </c>
      <c r="F27" s="142" t="s">
        <v>295</v>
      </c>
      <c r="G27" s="146">
        <v>4715</v>
      </c>
      <c r="H27" s="146">
        <v>6287</v>
      </c>
      <c r="I27" s="144">
        <f t="shared" si="1"/>
        <v>1572</v>
      </c>
      <c r="J27" s="145">
        <f t="shared" ref="J27:J36" si="9">IFERROR(H27/G27-1,"---")</f>
        <v>0.33340402969247074</v>
      </c>
      <c r="K27" s="155" t="s">
        <v>164</v>
      </c>
      <c r="L27" s="157">
        <v>0</v>
      </c>
      <c r="M27" s="158">
        <v>55</v>
      </c>
      <c r="N27" s="149">
        <f t="shared" si="2"/>
        <v>55</v>
      </c>
      <c r="O27" s="145" t="str">
        <f t="shared" si="7"/>
        <v>---</v>
      </c>
      <c r="P27" s="142" t="s">
        <v>295</v>
      </c>
      <c r="Q27" s="150">
        <v>311950</v>
      </c>
      <c r="R27" s="150">
        <v>395627</v>
      </c>
      <c r="S27" s="151">
        <f t="shared" si="3"/>
        <v>83677</v>
      </c>
      <c r="T27" s="145">
        <f t="shared" ref="T27:T36" si="10">IFERROR(R27/Q27-1,"---")</f>
        <v>0.26823849975957681</v>
      </c>
      <c r="U27" s="2523" t="s">
        <v>164</v>
      </c>
      <c r="V27" s="157">
        <v>0</v>
      </c>
      <c r="W27" s="158">
        <v>82669</v>
      </c>
      <c r="X27" s="149">
        <f t="shared" si="4"/>
        <v>82669</v>
      </c>
      <c r="Y27" s="145" t="str">
        <f t="shared" si="8"/>
        <v>---</v>
      </c>
      <c r="Z27" s="142" t="s">
        <v>295</v>
      </c>
      <c r="AA27" s="152">
        <v>47140076</v>
      </c>
      <c r="AB27" s="153">
        <v>59838170</v>
      </c>
      <c r="AC27" s="154">
        <f t="shared" si="5"/>
        <v>12698094</v>
      </c>
      <c r="AD27" s="145">
        <f t="shared" ref="AD27:AD36" si="11">IFERROR(AB27/AA27-1,"---")</f>
        <v>0.26936940025298228</v>
      </c>
      <c r="AF27" s="79"/>
    </row>
    <row r="28" spans="1:34" ht="18">
      <c r="A28" s="155" t="s">
        <v>133</v>
      </c>
      <c r="B28" s="2728">
        <v>1728</v>
      </c>
      <c r="C28" s="156">
        <v>1435</v>
      </c>
      <c r="D28" s="144">
        <f t="shared" si="0"/>
        <v>-293</v>
      </c>
      <c r="E28" s="145">
        <f t="shared" si="6"/>
        <v>-0.16956018518518523</v>
      </c>
      <c r="F28" s="2523" t="s">
        <v>164</v>
      </c>
      <c r="G28" s="159">
        <v>0</v>
      </c>
      <c r="H28" s="159">
        <v>25</v>
      </c>
      <c r="I28" s="144">
        <f t="shared" si="1"/>
        <v>25</v>
      </c>
      <c r="J28" s="145" t="str">
        <f t="shared" si="9"/>
        <v>---</v>
      </c>
      <c r="K28" s="155" t="s">
        <v>133</v>
      </c>
      <c r="L28" s="157">
        <v>99950</v>
      </c>
      <c r="M28" s="158">
        <v>87740</v>
      </c>
      <c r="N28" s="149">
        <f t="shared" si="2"/>
        <v>-12210</v>
      </c>
      <c r="O28" s="145">
        <f t="shared" si="7"/>
        <v>-0.12216108054027008</v>
      </c>
      <c r="P28" s="2523" t="s">
        <v>164</v>
      </c>
      <c r="Q28" s="160">
        <v>0</v>
      </c>
      <c r="R28" s="160">
        <v>176</v>
      </c>
      <c r="S28" s="151">
        <f t="shared" si="3"/>
        <v>176</v>
      </c>
      <c r="T28" s="145" t="str">
        <f t="shared" si="10"/>
        <v>---</v>
      </c>
      <c r="U28" s="2523" t="s">
        <v>133</v>
      </c>
      <c r="V28" s="157">
        <v>23140594</v>
      </c>
      <c r="W28" s="158">
        <v>18258958</v>
      </c>
      <c r="X28" s="149">
        <f t="shared" si="4"/>
        <v>-4881636</v>
      </c>
      <c r="Y28" s="145">
        <f t="shared" si="8"/>
        <v>-0.21095551825506298</v>
      </c>
      <c r="Z28" s="155" t="s">
        <v>164</v>
      </c>
      <c r="AA28" s="161">
        <v>0</v>
      </c>
      <c r="AB28" s="162">
        <v>279401</v>
      </c>
      <c r="AC28" s="154">
        <f t="shared" si="5"/>
        <v>279401</v>
      </c>
      <c r="AD28" s="145" t="str">
        <f t="shared" si="11"/>
        <v>---</v>
      </c>
      <c r="AF28" s="79"/>
      <c r="AH28" s="77">
        <f>213*1700</f>
        <v>362100</v>
      </c>
    </row>
    <row r="29" spans="1:34" ht="18">
      <c r="A29" s="155" t="s">
        <v>132</v>
      </c>
      <c r="B29" s="2728">
        <v>4066</v>
      </c>
      <c r="C29" s="156">
        <v>3884</v>
      </c>
      <c r="D29" s="144">
        <f t="shared" si="0"/>
        <v>-182</v>
      </c>
      <c r="E29" s="145">
        <f t="shared" si="6"/>
        <v>-4.4761436301032909E-2</v>
      </c>
      <c r="F29" s="2523" t="s">
        <v>133</v>
      </c>
      <c r="G29" s="159">
        <v>14207</v>
      </c>
      <c r="H29" s="1946">
        <v>16428</v>
      </c>
      <c r="I29" s="144">
        <f t="shared" si="1"/>
        <v>2221</v>
      </c>
      <c r="J29" s="145">
        <f t="shared" si="9"/>
        <v>0.15633138593651008</v>
      </c>
      <c r="K29" s="155" t="s">
        <v>132</v>
      </c>
      <c r="L29" s="157">
        <v>160900</v>
      </c>
      <c r="M29" s="158">
        <v>157321</v>
      </c>
      <c r="N29" s="149">
        <f t="shared" si="2"/>
        <v>-3579</v>
      </c>
      <c r="O29" s="145">
        <f t="shared" si="7"/>
        <v>-2.2243629583592273E-2</v>
      </c>
      <c r="P29" s="2523" t="s">
        <v>133</v>
      </c>
      <c r="Q29" s="163">
        <v>896497</v>
      </c>
      <c r="R29" s="163">
        <v>1044376</v>
      </c>
      <c r="S29" s="151">
        <f t="shared" si="3"/>
        <v>147879</v>
      </c>
      <c r="T29" s="145">
        <f t="shared" si="10"/>
        <v>0.16495202995659763</v>
      </c>
      <c r="U29" s="2523" t="s">
        <v>132</v>
      </c>
      <c r="V29" s="157">
        <v>168562931</v>
      </c>
      <c r="W29" s="164">
        <v>115391448</v>
      </c>
      <c r="X29" s="149">
        <f t="shared" si="4"/>
        <v>-53171483</v>
      </c>
      <c r="Y29" s="145">
        <f t="shared" si="8"/>
        <v>-0.31543995280907877</v>
      </c>
      <c r="Z29" s="155" t="s">
        <v>133</v>
      </c>
      <c r="AA29" s="161">
        <v>253292928</v>
      </c>
      <c r="AB29" s="165">
        <v>241296165</v>
      </c>
      <c r="AC29" s="154">
        <f t="shared" si="5"/>
        <v>-11996763</v>
      </c>
      <c r="AD29" s="145">
        <f t="shared" si="11"/>
        <v>-4.7363197601790086E-2</v>
      </c>
      <c r="AF29" s="79"/>
      <c r="AH29" s="77">
        <v>246000</v>
      </c>
    </row>
    <row r="30" spans="1:34" ht="18">
      <c r="A30" s="155" t="s">
        <v>319</v>
      </c>
      <c r="B30" s="2728">
        <v>593</v>
      </c>
      <c r="C30" s="156">
        <v>38</v>
      </c>
      <c r="D30" s="144">
        <f t="shared" si="0"/>
        <v>-555</v>
      </c>
      <c r="E30" s="145">
        <f t="shared" si="6"/>
        <v>-0.93591905564924116</v>
      </c>
      <c r="F30" s="2523" t="s">
        <v>132</v>
      </c>
      <c r="G30" s="159">
        <v>7751</v>
      </c>
      <c r="H30" s="1946">
        <v>4068</v>
      </c>
      <c r="I30" s="144">
        <f t="shared" si="1"/>
        <v>-3683</v>
      </c>
      <c r="J30" s="145">
        <f t="shared" si="9"/>
        <v>-0.47516449490388335</v>
      </c>
      <c r="K30" s="166" t="s">
        <v>319</v>
      </c>
      <c r="L30" s="167">
        <v>13639</v>
      </c>
      <c r="M30" s="168">
        <v>874</v>
      </c>
      <c r="N30" s="149">
        <f t="shared" si="2"/>
        <v>-12765</v>
      </c>
      <c r="O30" s="145">
        <f t="shared" si="7"/>
        <v>-0.93591905564924116</v>
      </c>
      <c r="P30" s="2523" t="s">
        <v>132</v>
      </c>
      <c r="Q30" s="163">
        <v>330314</v>
      </c>
      <c r="R30" s="163">
        <v>176437</v>
      </c>
      <c r="S30" s="151">
        <f t="shared" si="3"/>
        <v>-153877</v>
      </c>
      <c r="T30" s="145">
        <f t="shared" si="10"/>
        <v>-0.46585067541793568</v>
      </c>
      <c r="U30" s="2523" t="s">
        <v>319</v>
      </c>
      <c r="V30" s="157">
        <v>2045850</v>
      </c>
      <c r="W30" s="164">
        <v>131100</v>
      </c>
      <c r="X30" s="149">
        <f t="shared" si="4"/>
        <v>-1914750</v>
      </c>
      <c r="Y30" s="145">
        <f t="shared" si="8"/>
        <v>-0.93591905564924116</v>
      </c>
      <c r="Z30" s="155" t="s">
        <v>132</v>
      </c>
      <c r="AA30" s="161">
        <v>301570844</v>
      </c>
      <c r="AB30" s="165">
        <v>149182416</v>
      </c>
      <c r="AC30" s="154">
        <f t="shared" si="5"/>
        <v>-152388428</v>
      </c>
      <c r="AD30" s="145">
        <f t="shared" si="11"/>
        <v>-0.50531552048844608</v>
      </c>
      <c r="AE30" s="79"/>
      <c r="AH30" s="77">
        <f>SUM(AH28:AH29)</f>
        <v>608100</v>
      </c>
    </row>
    <row r="31" spans="1:34" ht="18">
      <c r="A31" s="155" t="s">
        <v>320</v>
      </c>
      <c r="B31" s="2728">
        <v>0</v>
      </c>
      <c r="C31" s="156">
        <v>0</v>
      </c>
      <c r="D31" s="144">
        <f t="shared" si="0"/>
        <v>0</v>
      </c>
      <c r="E31" s="145" t="str">
        <f t="shared" si="6"/>
        <v>---</v>
      </c>
      <c r="F31" s="2523" t="s">
        <v>278</v>
      </c>
      <c r="G31" s="159">
        <v>1715</v>
      </c>
      <c r="H31" s="1881">
        <v>1290</v>
      </c>
      <c r="I31" s="144">
        <f t="shared" si="1"/>
        <v>-425</v>
      </c>
      <c r="J31" s="145">
        <f t="shared" si="9"/>
        <v>-0.24781341107871724</v>
      </c>
      <c r="K31" s="155" t="s">
        <v>321</v>
      </c>
      <c r="L31" s="157">
        <v>0</v>
      </c>
      <c r="M31" s="158">
        <v>0</v>
      </c>
      <c r="N31" s="169">
        <f t="shared" si="2"/>
        <v>0</v>
      </c>
      <c r="O31" s="145" t="str">
        <f t="shared" si="7"/>
        <v>---</v>
      </c>
      <c r="P31" s="2523" t="s">
        <v>278</v>
      </c>
      <c r="Q31" s="163">
        <v>39474</v>
      </c>
      <c r="R31" s="163">
        <v>29822</v>
      </c>
      <c r="S31" s="151">
        <f t="shared" si="3"/>
        <v>-9652</v>
      </c>
      <c r="T31" s="145">
        <f t="shared" si="10"/>
        <v>-0.24451537721031569</v>
      </c>
      <c r="U31" s="2523" t="s">
        <v>294</v>
      </c>
      <c r="V31" s="157">
        <v>0</v>
      </c>
      <c r="W31" s="164">
        <v>0</v>
      </c>
      <c r="X31" s="149">
        <f t="shared" si="4"/>
        <v>0</v>
      </c>
      <c r="Y31" s="145" t="str">
        <f t="shared" si="8"/>
        <v>---</v>
      </c>
      <c r="Z31" s="155" t="s">
        <v>278</v>
      </c>
      <c r="AA31" s="161">
        <v>5937625</v>
      </c>
      <c r="AB31" s="162">
        <v>4473300</v>
      </c>
      <c r="AC31" s="154">
        <f t="shared" si="5"/>
        <v>-1464325</v>
      </c>
      <c r="AD31" s="145">
        <f t="shared" si="11"/>
        <v>-0.24661796593755925</v>
      </c>
      <c r="AE31" s="79"/>
      <c r="AH31" s="79"/>
    </row>
    <row r="32" spans="1:34" ht="18">
      <c r="A32" s="155" t="s">
        <v>106</v>
      </c>
      <c r="B32" s="2728">
        <v>3214</v>
      </c>
      <c r="C32" s="170">
        <v>3953</v>
      </c>
      <c r="D32" s="144">
        <f t="shared" si="0"/>
        <v>739</v>
      </c>
      <c r="E32" s="145">
        <f t="shared" si="6"/>
        <v>0.22993154947106409</v>
      </c>
      <c r="F32" s="2523" t="s">
        <v>320</v>
      </c>
      <c r="G32" s="159">
        <v>0</v>
      </c>
      <c r="H32" s="1881">
        <v>0</v>
      </c>
      <c r="I32" s="144">
        <f t="shared" si="1"/>
        <v>0</v>
      </c>
      <c r="J32" s="171" t="str">
        <f t="shared" si="9"/>
        <v>---</v>
      </c>
      <c r="K32" s="155" t="s">
        <v>106</v>
      </c>
      <c r="L32" s="157">
        <v>151659</v>
      </c>
      <c r="M32" s="158">
        <v>231925</v>
      </c>
      <c r="N32" s="149">
        <f t="shared" si="2"/>
        <v>80266</v>
      </c>
      <c r="O32" s="145">
        <f t="shared" si="7"/>
        <v>0.52925312708114913</v>
      </c>
      <c r="P32" s="2523" t="s">
        <v>294</v>
      </c>
      <c r="Q32" s="163">
        <v>0</v>
      </c>
      <c r="R32" s="163">
        <v>0</v>
      </c>
      <c r="S32" s="151">
        <f t="shared" si="3"/>
        <v>0</v>
      </c>
      <c r="T32" s="145" t="str">
        <f t="shared" si="10"/>
        <v>---</v>
      </c>
      <c r="U32" s="2523" t="s">
        <v>106</v>
      </c>
      <c r="V32" s="172">
        <v>22748850</v>
      </c>
      <c r="W32" s="158">
        <v>34788750</v>
      </c>
      <c r="X32" s="149">
        <f t="shared" si="4"/>
        <v>12039900</v>
      </c>
      <c r="Y32" s="145">
        <f t="shared" si="8"/>
        <v>0.52925312708114913</v>
      </c>
      <c r="Z32" s="155" t="s">
        <v>294</v>
      </c>
      <c r="AA32" s="161">
        <v>0</v>
      </c>
      <c r="AB32" s="162">
        <v>0</v>
      </c>
      <c r="AC32" s="154">
        <f t="shared" si="5"/>
        <v>0</v>
      </c>
      <c r="AD32" s="145" t="str">
        <f t="shared" si="11"/>
        <v>---</v>
      </c>
    </row>
    <row r="33" spans="1:30" ht="18.75" thickBot="1">
      <c r="A33" s="2516" t="s">
        <v>308</v>
      </c>
      <c r="B33" s="2729">
        <v>0</v>
      </c>
      <c r="C33" s="174">
        <v>0</v>
      </c>
      <c r="D33" s="175">
        <f t="shared" si="0"/>
        <v>0</v>
      </c>
      <c r="E33" s="176" t="str">
        <f t="shared" si="6"/>
        <v>---</v>
      </c>
      <c r="F33" s="2523" t="s">
        <v>297</v>
      </c>
      <c r="G33" s="159">
        <v>0</v>
      </c>
      <c r="H33" s="1882">
        <v>0</v>
      </c>
      <c r="I33" s="144">
        <f t="shared" si="1"/>
        <v>0</v>
      </c>
      <c r="J33" s="171" t="str">
        <f t="shared" si="9"/>
        <v>---</v>
      </c>
      <c r="K33" s="177" t="s">
        <v>308</v>
      </c>
      <c r="L33" s="178">
        <v>0</v>
      </c>
      <c r="M33" s="179">
        <v>0</v>
      </c>
      <c r="N33" s="149">
        <f t="shared" si="2"/>
        <v>0</v>
      </c>
      <c r="O33" s="180" t="str">
        <f t="shared" si="7"/>
        <v>---</v>
      </c>
      <c r="P33" s="2523" t="s">
        <v>297</v>
      </c>
      <c r="Q33" s="163">
        <v>0</v>
      </c>
      <c r="R33" s="181">
        <v>0</v>
      </c>
      <c r="S33" s="151">
        <f t="shared" si="3"/>
        <v>0</v>
      </c>
      <c r="T33" s="145" t="str">
        <f t="shared" si="10"/>
        <v>---</v>
      </c>
      <c r="U33" s="2527" t="s">
        <v>308</v>
      </c>
      <c r="V33" s="182">
        <v>0</v>
      </c>
      <c r="W33" s="179">
        <v>0</v>
      </c>
      <c r="X33" s="149">
        <f t="shared" si="4"/>
        <v>0</v>
      </c>
      <c r="Y33" s="180" t="str">
        <f t="shared" si="8"/>
        <v>---</v>
      </c>
      <c r="Z33" s="155" t="s">
        <v>297</v>
      </c>
      <c r="AA33" s="161">
        <v>0</v>
      </c>
      <c r="AB33" s="183">
        <v>0</v>
      </c>
      <c r="AC33" s="154">
        <f t="shared" si="5"/>
        <v>0</v>
      </c>
      <c r="AD33" s="145" t="str">
        <f t="shared" si="11"/>
        <v>---</v>
      </c>
    </row>
    <row r="34" spans="1:30" ht="18.75" thickBot="1">
      <c r="A34" s="2529" t="s">
        <v>49</v>
      </c>
      <c r="B34" s="185">
        <f>SUM(B25:B33)</f>
        <v>9889</v>
      </c>
      <c r="C34" s="186">
        <f>SUM(C25:C33)</f>
        <v>9706</v>
      </c>
      <c r="D34" s="187">
        <f t="shared" si="0"/>
        <v>-183</v>
      </c>
      <c r="E34" s="188">
        <f t="shared" si="6"/>
        <v>-1.8505410051572468E-2</v>
      </c>
      <c r="F34" s="2523" t="s">
        <v>106</v>
      </c>
      <c r="G34" s="189">
        <v>3821</v>
      </c>
      <c r="H34" s="1881">
        <v>3469</v>
      </c>
      <c r="I34" s="144">
        <f t="shared" si="1"/>
        <v>-352</v>
      </c>
      <c r="J34" s="171">
        <f t="shared" si="9"/>
        <v>-9.2122481025909475E-2</v>
      </c>
      <c r="K34" s="190" t="s">
        <v>49</v>
      </c>
      <c r="L34" s="191">
        <f>SUM(L25:L33)</f>
        <v>440766</v>
      </c>
      <c r="M34" s="192">
        <f>SUM(M25:M33)</f>
        <v>499285</v>
      </c>
      <c r="N34" s="193">
        <f t="shared" si="2"/>
        <v>58519</v>
      </c>
      <c r="O34" s="188">
        <f t="shared" si="7"/>
        <v>0.13276659270451896</v>
      </c>
      <c r="P34" s="2523" t="s">
        <v>106</v>
      </c>
      <c r="Q34" s="163">
        <v>199151</v>
      </c>
      <c r="R34" s="163">
        <v>183589</v>
      </c>
      <c r="S34" s="151">
        <f t="shared" si="3"/>
        <v>-15562</v>
      </c>
      <c r="T34" s="145">
        <f t="shared" si="10"/>
        <v>-7.8141711565595906E-2</v>
      </c>
      <c r="U34" s="190" t="s">
        <v>49</v>
      </c>
      <c r="V34" s="194">
        <v>219200076</v>
      </c>
      <c r="W34" s="194">
        <f>SUM(W25:W33)</f>
        <v>172441072</v>
      </c>
      <c r="X34" s="195">
        <f t="shared" si="4"/>
        <v>-46759004</v>
      </c>
      <c r="Y34" s="188">
        <f t="shared" si="8"/>
        <v>-0.21331655012747353</v>
      </c>
      <c r="Z34" s="155" t="s">
        <v>106</v>
      </c>
      <c r="AA34" s="161">
        <v>29872650</v>
      </c>
      <c r="AB34" s="196">
        <v>27538350</v>
      </c>
      <c r="AC34" s="154">
        <v>2564550</v>
      </c>
      <c r="AD34" s="145">
        <f t="shared" si="11"/>
        <v>-7.8141711565595906E-2</v>
      </c>
    </row>
    <row r="35" spans="1:30" ht="18.75" thickBot="1">
      <c r="A35" s="2950" t="s">
        <v>322</v>
      </c>
      <c r="B35" s="2950"/>
      <c r="C35" s="2950"/>
      <c r="D35" s="2950"/>
      <c r="E35" s="2950"/>
      <c r="F35" s="2527" t="s">
        <v>298</v>
      </c>
      <c r="G35" s="197">
        <v>57</v>
      </c>
      <c r="H35" s="1883">
        <v>176</v>
      </c>
      <c r="I35" s="198">
        <f t="shared" si="1"/>
        <v>119</v>
      </c>
      <c r="J35" s="171">
        <f t="shared" si="9"/>
        <v>2.0877192982456139</v>
      </c>
      <c r="K35" s="2951" t="s">
        <v>322</v>
      </c>
      <c r="L35" s="2951"/>
      <c r="M35" s="2951"/>
      <c r="N35" s="2951"/>
      <c r="O35" s="2951"/>
      <c r="P35" s="2527" t="s">
        <v>298</v>
      </c>
      <c r="Q35" s="199">
        <v>896</v>
      </c>
      <c r="R35" s="199">
        <v>10205</v>
      </c>
      <c r="S35" s="136">
        <f t="shared" si="3"/>
        <v>9309</v>
      </c>
      <c r="T35" s="137">
        <f>IFERROR(R35/Q35-1,"---")</f>
        <v>10.389508928571429</v>
      </c>
      <c r="U35" s="2951" t="s">
        <v>322</v>
      </c>
      <c r="V35" s="2951"/>
      <c r="W35" s="2951"/>
      <c r="X35" s="2951"/>
      <c r="Y35" s="2951"/>
      <c r="Z35" s="177" t="s">
        <v>298</v>
      </c>
      <c r="AA35" s="200">
        <v>256109</v>
      </c>
      <c r="AB35" s="201">
        <v>7059382</v>
      </c>
      <c r="AC35" s="202">
        <f t="shared" si="5"/>
        <v>6803273</v>
      </c>
      <c r="AD35" s="137">
        <f>IFERROR(AB35/AA35-1,"---")</f>
        <v>26.563974713891351</v>
      </c>
    </row>
    <row r="36" spans="1:30" ht="30.75" customHeight="1" thickBot="1">
      <c r="A36" s="2952" t="s">
        <v>304</v>
      </c>
      <c r="B36" s="2952"/>
      <c r="C36" s="2952"/>
      <c r="D36" s="2952"/>
      <c r="E36" s="2952"/>
      <c r="F36" s="190" t="s">
        <v>49</v>
      </c>
      <c r="G36" s="203">
        <f>SUM(G25:G34)</f>
        <v>32209</v>
      </c>
      <c r="H36" s="204">
        <f>SUM(H25:H35)</f>
        <v>31743</v>
      </c>
      <c r="I36" s="185">
        <f t="shared" si="1"/>
        <v>-466</v>
      </c>
      <c r="J36" s="188">
        <f t="shared" si="9"/>
        <v>-1.4468005836877906E-2</v>
      </c>
      <c r="K36" s="2952" t="s">
        <v>304</v>
      </c>
      <c r="L36" s="2952"/>
      <c r="M36" s="2952"/>
      <c r="N36" s="2952"/>
      <c r="O36" s="2952"/>
      <c r="P36" s="190" t="s">
        <v>49</v>
      </c>
      <c r="Q36" s="205">
        <f>SUM(Q25:Q35)</f>
        <v>1778282</v>
      </c>
      <c r="R36" s="206">
        <f>SUM(R25:R35)</f>
        <v>1840232</v>
      </c>
      <c r="S36" s="207">
        <f t="shared" si="3"/>
        <v>61950</v>
      </c>
      <c r="T36" s="188">
        <f t="shared" si="10"/>
        <v>3.4836994357475337E-2</v>
      </c>
      <c r="U36" s="2952" t="s">
        <v>304</v>
      </c>
      <c r="V36" s="2952"/>
      <c r="W36" s="2952"/>
      <c r="X36" s="2952"/>
      <c r="Y36" s="2952"/>
      <c r="Z36" s="190" t="s">
        <v>49</v>
      </c>
      <c r="AA36" s="208">
        <f>SUM(AA25:AA35)</f>
        <v>638070232</v>
      </c>
      <c r="AB36" s="209">
        <f>SUM(AB25:AB35)</f>
        <v>489667184</v>
      </c>
      <c r="AC36" s="210">
        <f t="shared" si="5"/>
        <v>-148403048</v>
      </c>
      <c r="AD36" s="188">
        <f t="shared" si="11"/>
        <v>-0.23258105543466256</v>
      </c>
    </row>
    <row r="37" spans="1:30">
      <c r="F37" s="2951" t="s">
        <v>322</v>
      </c>
      <c r="G37" s="2954"/>
      <c r="H37" s="2954"/>
      <c r="I37" s="2954"/>
      <c r="J37" s="2954"/>
      <c r="P37" s="2951" t="s">
        <v>322</v>
      </c>
      <c r="Q37" s="2954"/>
      <c r="R37" s="2954"/>
      <c r="S37" s="2954"/>
      <c r="T37" s="2954"/>
      <c r="Z37" s="2951" t="s">
        <v>322</v>
      </c>
      <c r="AA37" s="2954"/>
      <c r="AB37" s="2954"/>
      <c r="AC37" s="2954"/>
      <c r="AD37" s="2954"/>
    </row>
    <row r="38" spans="1:30" ht="27" customHeight="1">
      <c r="F38" s="2952" t="s">
        <v>304</v>
      </c>
      <c r="G38" s="2952"/>
      <c r="H38" s="2952"/>
      <c r="I38" s="2952"/>
      <c r="J38" s="2952"/>
      <c r="P38" s="2952" t="s">
        <v>304</v>
      </c>
      <c r="Q38" s="2952"/>
      <c r="R38" s="2952"/>
      <c r="S38" s="2952"/>
      <c r="T38" s="2952"/>
      <c r="V38" s="79"/>
      <c r="W38" s="79"/>
      <c r="X38" s="79"/>
      <c r="Y38" s="79"/>
      <c r="Z38" s="2952" t="s">
        <v>304</v>
      </c>
      <c r="AA38" s="2952"/>
      <c r="AB38" s="2952"/>
      <c r="AC38" s="2952"/>
      <c r="AD38" s="2952"/>
    </row>
    <row r="39" spans="1:30" ht="27" customHeight="1">
      <c r="R39" s="211" t="e">
        <f>+#REF!</f>
        <v>#REF!</v>
      </c>
      <c r="S39" s="211" t="e">
        <f>+#REF!</f>
        <v>#REF!</v>
      </c>
      <c r="Z39" s="79"/>
      <c r="AA39" s="79"/>
      <c r="AB39" s="79"/>
    </row>
    <row r="40" spans="1:30" ht="83.25" customHeight="1">
      <c r="AA40" s="79"/>
    </row>
    <row r="41" spans="1:30">
      <c r="F41" s="212" t="s">
        <v>323</v>
      </c>
      <c r="G41" s="212"/>
      <c r="H41" s="212"/>
      <c r="I41" s="212"/>
      <c r="J41" s="212"/>
      <c r="AA41" s="79"/>
    </row>
    <row r="42" spans="1:30">
      <c r="F42" s="2955" t="s">
        <v>304</v>
      </c>
      <c r="G42" s="2955"/>
      <c r="H42" s="2955"/>
      <c r="I42" s="2955"/>
      <c r="J42" s="2955"/>
      <c r="U42" s="212" t="s">
        <v>324</v>
      </c>
      <c r="AA42" s="79"/>
    </row>
    <row r="43" spans="1:30" ht="18">
      <c r="F43" s="2955"/>
      <c r="G43" s="2955"/>
      <c r="H43" s="2955"/>
      <c r="I43" s="2955"/>
      <c r="J43" s="2955"/>
      <c r="U43" s="213" t="s">
        <v>325</v>
      </c>
      <c r="V43" s="214"/>
      <c r="W43" s="214"/>
      <c r="X43" s="214"/>
      <c r="Y43" s="214"/>
      <c r="Z43" s="214"/>
      <c r="AA43" s="214"/>
      <c r="AB43" s="214"/>
      <c r="AC43" s="214"/>
    </row>
    <row r="44" spans="1:30" ht="18">
      <c r="F44" s="2955"/>
      <c r="G44" s="2955"/>
      <c r="H44" s="2955"/>
      <c r="I44" s="2955"/>
      <c r="J44" s="2955"/>
      <c r="U44" s="2956" t="s">
        <v>326</v>
      </c>
      <c r="V44" s="2956"/>
      <c r="W44" s="2956"/>
      <c r="X44" s="2956"/>
      <c r="Y44" s="2956"/>
      <c r="Z44" s="214"/>
      <c r="AA44" s="214"/>
      <c r="AB44" s="214"/>
      <c r="AC44" s="214"/>
    </row>
    <row r="45" spans="1:30" ht="18">
      <c r="U45" s="2957" t="s">
        <v>327</v>
      </c>
      <c r="V45" s="2957"/>
      <c r="W45" s="2957"/>
      <c r="X45" s="2957"/>
      <c r="Y45" s="2957"/>
      <c r="Z45" s="214"/>
      <c r="AA45" s="214"/>
      <c r="AB45" s="214"/>
      <c r="AC45" s="214"/>
    </row>
    <row r="46" spans="1:30" ht="16.5" customHeight="1">
      <c r="U46" s="215" t="s">
        <v>328</v>
      </c>
      <c r="V46" s="216" t="s">
        <v>329</v>
      </c>
      <c r="W46" s="215" t="s">
        <v>330</v>
      </c>
      <c r="X46" s="217" t="s">
        <v>331</v>
      </c>
      <c r="Y46" s="217" t="s">
        <v>332</v>
      </c>
      <c r="Z46" s="214"/>
      <c r="AA46" s="214"/>
      <c r="AB46" s="214"/>
      <c r="AC46" s="214"/>
    </row>
    <row r="47" spans="1:30" ht="18">
      <c r="S47" s="81">
        <f>SUM(S48:S54)</f>
        <v>0</v>
      </c>
      <c r="U47" s="218" t="s">
        <v>333</v>
      </c>
      <c r="V47" s="218" t="s">
        <v>288</v>
      </c>
      <c r="W47" s="218" t="s">
        <v>102</v>
      </c>
      <c r="X47" s="218" t="s">
        <v>334</v>
      </c>
      <c r="Y47" s="218" t="s">
        <v>335</v>
      </c>
      <c r="Z47" s="218" t="s">
        <v>336</v>
      </c>
      <c r="AA47" s="218" t="s">
        <v>337</v>
      </c>
      <c r="AB47" s="218" t="s">
        <v>338</v>
      </c>
      <c r="AC47" s="218" t="s">
        <v>339</v>
      </c>
    </row>
    <row r="48" spans="1:30" ht="18">
      <c r="S48" s="219" t="s">
        <v>340</v>
      </c>
      <c r="T48" s="81" t="s">
        <v>340</v>
      </c>
      <c r="U48" s="220">
        <v>155502430</v>
      </c>
      <c r="V48" s="220">
        <v>200175</v>
      </c>
      <c r="W48" s="220">
        <v>5069</v>
      </c>
      <c r="X48" s="218" t="s">
        <v>341</v>
      </c>
      <c r="Y48" s="218" t="s">
        <v>342</v>
      </c>
      <c r="Z48" s="218" t="s">
        <v>342</v>
      </c>
      <c r="AA48" s="218" t="s">
        <v>342</v>
      </c>
      <c r="AB48" s="218" t="s">
        <v>78</v>
      </c>
      <c r="AC48" s="218">
        <v>1</v>
      </c>
    </row>
    <row r="49" spans="13:29" ht="18">
      <c r="S49" s="219" t="s">
        <v>343</v>
      </c>
      <c r="T49" s="81" t="s">
        <v>343</v>
      </c>
      <c r="U49" s="220">
        <v>2008841651</v>
      </c>
      <c r="V49" s="220">
        <v>2070668</v>
      </c>
      <c r="W49" s="220">
        <v>36736</v>
      </c>
      <c r="X49" s="218" t="s">
        <v>341</v>
      </c>
      <c r="Y49" s="218" t="s">
        <v>342</v>
      </c>
      <c r="Z49" s="218" t="s">
        <v>342</v>
      </c>
      <c r="AA49" s="218" t="s">
        <v>342</v>
      </c>
      <c r="AB49" s="218" t="s">
        <v>68</v>
      </c>
      <c r="AC49" s="218">
        <v>2</v>
      </c>
    </row>
    <row r="50" spans="13:29" ht="18">
      <c r="S50" s="219" t="s">
        <v>344</v>
      </c>
      <c r="T50" s="81" t="s">
        <v>344</v>
      </c>
      <c r="U50" s="220">
        <v>33857722</v>
      </c>
      <c r="V50" s="220">
        <v>137301</v>
      </c>
      <c r="W50" s="220">
        <v>2442</v>
      </c>
      <c r="X50" s="218" t="s">
        <v>341</v>
      </c>
      <c r="Y50" s="218" t="s">
        <v>342</v>
      </c>
      <c r="Z50" s="218" t="s">
        <v>342</v>
      </c>
      <c r="AA50" s="218" t="s">
        <v>342</v>
      </c>
      <c r="AB50" s="218" t="s">
        <v>76</v>
      </c>
      <c r="AC50" s="218">
        <v>3</v>
      </c>
    </row>
    <row r="51" spans="13:29" ht="18">
      <c r="S51" s="219" t="s">
        <v>345</v>
      </c>
      <c r="T51" s="81" t="s">
        <v>345</v>
      </c>
      <c r="U51" s="220">
        <v>21225715</v>
      </c>
      <c r="V51" s="220">
        <v>25300</v>
      </c>
      <c r="W51" s="218">
        <v>485</v>
      </c>
      <c r="X51" s="218" t="s">
        <v>341</v>
      </c>
      <c r="Y51" s="218" t="s">
        <v>342</v>
      </c>
      <c r="Z51" s="218" t="s">
        <v>342</v>
      </c>
      <c r="AA51" s="218" t="s">
        <v>342</v>
      </c>
      <c r="AB51" s="218" t="s">
        <v>72</v>
      </c>
      <c r="AC51" s="218">
        <v>4</v>
      </c>
    </row>
    <row r="52" spans="13:29" ht="18">
      <c r="S52" s="219" t="s">
        <v>346</v>
      </c>
      <c r="T52" s="81" t="s">
        <v>346</v>
      </c>
      <c r="U52" s="220">
        <v>21802800</v>
      </c>
      <c r="V52" s="220">
        <v>145352</v>
      </c>
      <c r="W52" s="220">
        <v>2406</v>
      </c>
      <c r="X52" s="218" t="s">
        <v>341</v>
      </c>
      <c r="Y52" s="218" t="s">
        <v>342</v>
      </c>
      <c r="Z52" s="218" t="s">
        <v>342</v>
      </c>
      <c r="AA52" s="218" t="s">
        <v>342</v>
      </c>
      <c r="AB52" s="218" t="s">
        <v>73</v>
      </c>
      <c r="AC52" s="218">
        <v>5</v>
      </c>
    </row>
    <row r="53" spans="13:29" ht="18">
      <c r="S53" s="219" t="s">
        <v>347</v>
      </c>
      <c r="T53" s="81" t="s">
        <v>347</v>
      </c>
      <c r="U53" s="220">
        <v>1497672</v>
      </c>
      <c r="V53" s="220">
        <v>7140</v>
      </c>
      <c r="W53" s="218">
        <v>105</v>
      </c>
      <c r="X53" s="218" t="s">
        <v>341</v>
      </c>
      <c r="Y53" s="218" t="s">
        <v>342</v>
      </c>
      <c r="Z53" s="218" t="s">
        <v>342</v>
      </c>
      <c r="AA53" s="218" t="s">
        <v>342</v>
      </c>
      <c r="AB53" s="218" t="s">
        <v>75</v>
      </c>
      <c r="AC53" s="218">
        <v>6</v>
      </c>
    </row>
    <row r="54" spans="13:29" ht="18" customHeight="1">
      <c r="S54" s="219" t="s">
        <v>348</v>
      </c>
      <c r="T54" s="81" t="s">
        <v>348</v>
      </c>
      <c r="U54" s="221">
        <v>1278679319</v>
      </c>
      <c r="V54" s="220">
        <v>1025720</v>
      </c>
      <c r="W54" s="220">
        <v>17217</v>
      </c>
      <c r="X54" s="218" t="s">
        <v>341</v>
      </c>
      <c r="Y54" s="218" t="s">
        <v>342</v>
      </c>
      <c r="Z54" s="218" t="s">
        <v>342</v>
      </c>
      <c r="AA54" s="218" t="s">
        <v>342</v>
      </c>
      <c r="AB54" s="218" t="s">
        <v>83</v>
      </c>
      <c r="AC54" s="218">
        <v>7</v>
      </c>
    </row>
    <row r="55" spans="13:29" ht="18">
      <c r="S55" s="77">
        <f>SUM(S48:S54)</f>
        <v>0</v>
      </c>
      <c r="T55" s="222">
        <f>SUM(T48:T54)</f>
        <v>0</v>
      </c>
      <c r="U55" s="223">
        <v>3521407309</v>
      </c>
      <c r="V55" s="223">
        <v>3611656</v>
      </c>
      <c r="W55" s="223">
        <v>64460</v>
      </c>
      <c r="X55" s="224" t="s">
        <v>349</v>
      </c>
      <c r="Y55" s="225"/>
      <c r="Z55" s="225"/>
      <c r="AA55" s="225"/>
      <c r="AB55" s="225"/>
      <c r="AC55" s="226"/>
    </row>
    <row r="56" spans="13:29" ht="18">
      <c r="U56" s="223">
        <v>3521407309</v>
      </c>
      <c r="V56" s="223">
        <v>3611656</v>
      </c>
      <c r="W56" s="223">
        <v>64460</v>
      </c>
      <c r="X56" s="214"/>
      <c r="Y56" s="214"/>
      <c r="Z56" s="214"/>
      <c r="AA56" s="214"/>
      <c r="AB56" s="214"/>
      <c r="AC56" s="214"/>
    </row>
    <row r="57" spans="13:29" ht="18">
      <c r="U57" s="227" t="s">
        <v>350</v>
      </c>
      <c r="V57" s="214"/>
      <c r="W57" s="214"/>
      <c r="X57" s="214"/>
      <c r="Y57" s="214"/>
      <c r="Z57" s="214"/>
      <c r="AA57" s="214"/>
      <c r="AB57" s="214"/>
      <c r="AC57" s="214"/>
    </row>
    <row r="59" spans="13:29">
      <c r="U59" s="212" t="s">
        <v>351</v>
      </c>
    </row>
    <row r="60" spans="13:29" ht="18">
      <c r="U60" s="228">
        <v>1278679314</v>
      </c>
      <c r="V60" s="229" t="s">
        <v>352</v>
      </c>
      <c r="W60" s="229" t="s">
        <v>353</v>
      </c>
    </row>
    <row r="61" spans="13:29" ht="18">
      <c r="U61" s="230">
        <v>3521427402</v>
      </c>
      <c r="V61" s="231" t="s">
        <v>354</v>
      </c>
      <c r="W61" s="231" t="s">
        <v>355</v>
      </c>
    </row>
    <row r="63" spans="13:29" ht="15.75" customHeight="1">
      <c r="M63" s="213" t="s">
        <v>356</v>
      </c>
      <c r="N63" s="232">
        <v>0.52394675925925926</v>
      </c>
      <c r="O63" s="233" t="s">
        <v>357</v>
      </c>
      <c r="P63" s="233" t="s">
        <v>358</v>
      </c>
      <c r="Q63" s="213" t="s">
        <v>325</v>
      </c>
      <c r="R63" s="214"/>
      <c r="U63" s="2956" t="s">
        <v>326</v>
      </c>
      <c r="V63" s="2956"/>
      <c r="W63" s="2956"/>
      <c r="X63" s="2956"/>
      <c r="Y63" s="2956"/>
      <c r="Z63" s="214"/>
    </row>
    <row r="64" spans="13:29" ht="47.25">
      <c r="M64" s="234" t="s">
        <v>326</v>
      </c>
      <c r="N64" s="234"/>
      <c r="O64" s="234"/>
      <c r="P64" s="234"/>
      <c r="Q64" s="234"/>
      <c r="R64" s="214"/>
      <c r="U64" s="235" t="s">
        <v>327</v>
      </c>
      <c r="V64" s="235"/>
      <c r="W64" s="235"/>
      <c r="X64" s="235"/>
      <c r="Y64" s="235"/>
      <c r="Z64" s="235"/>
    </row>
    <row r="65" spans="13:26" ht="54">
      <c r="M65" s="235" t="s">
        <v>327</v>
      </c>
      <c r="N65" s="235"/>
      <c r="O65" s="235"/>
      <c r="P65" s="235"/>
      <c r="Q65" s="235"/>
      <c r="R65" s="235"/>
      <c r="U65" s="236"/>
      <c r="V65" s="237" t="s">
        <v>328</v>
      </c>
      <c r="W65" s="238" t="s">
        <v>329</v>
      </c>
      <c r="X65" s="239" t="s">
        <v>330</v>
      </c>
      <c r="Y65" s="240" t="s">
        <v>359</v>
      </c>
      <c r="Z65" s="241" t="s">
        <v>360</v>
      </c>
    </row>
    <row r="66" spans="13:26" ht="54.75" thickBot="1">
      <c r="M66" s="236"/>
      <c r="N66" s="237" t="s">
        <v>361</v>
      </c>
      <c r="O66" s="238" t="s">
        <v>329</v>
      </c>
      <c r="P66" s="239" t="s">
        <v>330</v>
      </c>
      <c r="Q66" s="240" t="s">
        <v>359</v>
      </c>
      <c r="R66" s="241" t="s">
        <v>360</v>
      </c>
      <c r="U66" s="2958" t="s">
        <v>72</v>
      </c>
      <c r="V66" s="2958"/>
      <c r="W66" s="2958"/>
      <c r="X66" s="2958"/>
      <c r="Y66" s="214"/>
      <c r="Z66" s="214"/>
    </row>
    <row r="67" spans="13:26" ht="18.75" thickBot="1">
      <c r="M67" s="242" t="s">
        <v>72</v>
      </c>
      <c r="N67" s="242"/>
      <c r="O67" s="242"/>
      <c r="P67" s="242"/>
      <c r="Q67" s="214"/>
      <c r="R67" s="214"/>
      <c r="U67" s="243" t="s">
        <v>362</v>
      </c>
      <c r="V67" s="243" t="s">
        <v>104</v>
      </c>
      <c r="W67" s="243" t="s">
        <v>288</v>
      </c>
      <c r="X67" s="243" t="s">
        <v>102</v>
      </c>
      <c r="Y67" s="214"/>
      <c r="Z67" s="214"/>
    </row>
    <row r="68" spans="13:26" ht="18.75" thickBot="1">
      <c r="M68" s="243" t="s">
        <v>362</v>
      </c>
      <c r="N68" s="243" t="s">
        <v>104</v>
      </c>
      <c r="O68" s="243" t="s">
        <v>288</v>
      </c>
      <c r="P68" s="243" t="s">
        <v>102</v>
      </c>
      <c r="Q68" s="214"/>
      <c r="R68" s="214"/>
      <c r="U68" s="244" t="s">
        <v>341</v>
      </c>
      <c r="V68" s="245" t="s">
        <v>345</v>
      </c>
      <c r="W68" s="245" t="s">
        <v>363</v>
      </c>
      <c r="X68" s="245" t="s">
        <v>364</v>
      </c>
      <c r="Y68" s="214"/>
      <c r="Z68" s="214"/>
    </row>
    <row r="69" spans="13:26" ht="18.75" thickBot="1">
      <c r="M69" s="244" t="s">
        <v>341</v>
      </c>
      <c r="N69" s="245" t="s">
        <v>345</v>
      </c>
      <c r="O69" s="245" t="s">
        <v>363</v>
      </c>
      <c r="P69" s="245" t="s">
        <v>364</v>
      </c>
      <c r="Q69" s="214"/>
      <c r="R69" s="214"/>
      <c r="U69" s="246" t="s">
        <v>365</v>
      </c>
      <c r="V69" s="247" t="s">
        <v>345</v>
      </c>
      <c r="W69" s="247" t="s">
        <v>363</v>
      </c>
      <c r="X69" s="247" t="s">
        <v>364</v>
      </c>
      <c r="Y69" s="214"/>
      <c r="Z69" s="214"/>
    </row>
    <row r="70" spans="13:26" ht="18.75" thickBot="1">
      <c r="M70" s="246" t="s">
        <v>365</v>
      </c>
      <c r="N70" s="247" t="s">
        <v>345</v>
      </c>
      <c r="O70" s="247" t="s">
        <v>363</v>
      </c>
      <c r="P70" s="247" t="s">
        <v>364</v>
      </c>
      <c r="Q70" s="214"/>
      <c r="R70" s="214"/>
      <c r="U70" s="2953" t="s">
        <v>78</v>
      </c>
      <c r="V70" s="2953"/>
      <c r="W70" s="2953"/>
      <c r="X70" s="2953"/>
      <c r="Y70" s="214"/>
      <c r="Z70" s="214"/>
    </row>
    <row r="71" spans="13:26" ht="18.75" thickBot="1">
      <c r="M71" s="248" t="s">
        <v>78</v>
      </c>
      <c r="N71" s="248"/>
      <c r="O71" s="248"/>
      <c r="P71" s="248"/>
      <c r="Q71" s="214"/>
      <c r="R71" s="214"/>
      <c r="U71" s="243" t="s">
        <v>362</v>
      </c>
      <c r="V71" s="243" t="s">
        <v>104</v>
      </c>
      <c r="W71" s="243" t="s">
        <v>288</v>
      </c>
      <c r="X71" s="243" t="s">
        <v>102</v>
      </c>
      <c r="Y71" s="214"/>
      <c r="Z71" s="214"/>
    </row>
    <row r="72" spans="13:26" ht="18.75" thickBot="1">
      <c r="M72" s="243" t="s">
        <v>362</v>
      </c>
      <c r="N72" s="243" t="s">
        <v>104</v>
      </c>
      <c r="O72" s="243" t="s">
        <v>288</v>
      </c>
      <c r="P72" s="243" t="s">
        <v>102</v>
      </c>
      <c r="Q72" s="214"/>
      <c r="R72" s="214"/>
      <c r="U72" s="244" t="s">
        <v>341</v>
      </c>
      <c r="V72" s="245" t="s">
        <v>340</v>
      </c>
      <c r="W72" s="245" t="s">
        <v>366</v>
      </c>
      <c r="X72" s="245" t="s">
        <v>367</v>
      </c>
      <c r="Y72" s="214"/>
      <c r="Z72" s="214"/>
    </row>
    <row r="73" spans="13:26" ht="18.75" thickBot="1">
      <c r="M73" s="244" t="s">
        <v>341</v>
      </c>
      <c r="N73" s="245" t="s">
        <v>340</v>
      </c>
      <c r="O73" s="245" t="s">
        <v>366</v>
      </c>
      <c r="P73" s="245" t="s">
        <v>367</v>
      </c>
      <c r="Q73" s="214"/>
      <c r="R73" s="214"/>
      <c r="U73" s="246" t="s">
        <v>365</v>
      </c>
      <c r="V73" s="247" t="s">
        <v>340</v>
      </c>
      <c r="W73" s="247" t="s">
        <v>366</v>
      </c>
      <c r="X73" s="247" t="s">
        <v>367</v>
      </c>
      <c r="Y73" s="214"/>
      <c r="Z73" s="214"/>
    </row>
    <row r="74" spans="13:26" ht="18.75" thickBot="1">
      <c r="M74" s="246" t="s">
        <v>365</v>
      </c>
      <c r="N74" s="247" t="s">
        <v>340</v>
      </c>
      <c r="O74" s="247" t="s">
        <v>366</v>
      </c>
      <c r="P74" s="247" t="s">
        <v>367</v>
      </c>
      <c r="Q74" s="214"/>
      <c r="R74" s="214"/>
      <c r="U74" s="2953" t="s">
        <v>75</v>
      </c>
      <c r="V74" s="2953"/>
      <c r="W74" s="2953"/>
      <c r="X74" s="2953"/>
      <c r="Y74" s="214"/>
      <c r="Z74" s="214"/>
    </row>
    <row r="75" spans="13:26" ht="18.75" thickBot="1">
      <c r="M75" s="248" t="s">
        <v>75</v>
      </c>
      <c r="N75" s="248"/>
      <c r="O75" s="248"/>
      <c r="P75" s="248"/>
      <c r="Q75" s="214"/>
      <c r="R75" s="214"/>
      <c r="U75" s="243" t="s">
        <v>362</v>
      </c>
      <c r="V75" s="243" t="s">
        <v>104</v>
      </c>
      <c r="W75" s="243" t="s">
        <v>288</v>
      </c>
      <c r="X75" s="243" t="s">
        <v>102</v>
      </c>
      <c r="Y75" s="214"/>
      <c r="Z75" s="214"/>
    </row>
    <row r="76" spans="13:26" ht="18.75" thickBot="1">
      <c r="M76" s="243" t="s">
        <v>362</v>
      </c>
      <c r="N76" s="243" t="s">
        <v>104</v>
      </c>
      <c r="O76" s="243" t="s">
        <v>288</v>
      </c>
      <c r="P76" s="243" t="s">
        <v>102</v>
      </c>
      <c r="Q76" s="214"/>
      <c r="R76" s="214"/>
      <c r="U76" s="244" t="s">
        <v>341</v>
      </c>
      <c r="V76" s="245" t="s">
        <v>347</v>
      </c>
      <c r="W76" s="245" t="s">
        <v>368</v>
      </c>
      <c r="X76" s="245" t="s">
        <v>369</v>
      </c>
      <c r="Y76" s="214"/>
      <c r="Z76" s="214"/>
    </row>
    <row r="77" spans="13:26" ht="18.75" thickBot="1">
      <c r="M77" s="244" t="s">
        <v>341</v>
      </c>
      <c r="N77" s="245" t="s">
        <v>347</v>
      </c>
      <c r="O77" s="245" t="s">
        <v>368</v>
      </c>
      <c r="P77" s="245" t="s">
        <v>369</v>
      </c>
      <c r="Q77" s="214"/>
      <c r="R77" s="214"/>
      <c r="U77" s="246" t="s">
        <v>365</v>
      </c>
      <c r="V77" s="247" t="s">
        <v>347</v>
      </c>
      <c r="W77" s="247" t="s">
        <v>368</v>
      </c>
      <c r="X77" s="247" t="s">
        <v>369</v>
      </c>
      <c r="Y77" s="214"/>
      <c r="Z77" s="214"/>
    </row>
    <row r="78" spans="13:26" ht="18.75" thickBot="1">
      <c r="M78" s="246" t="s">
        <v>365</v>
      </c>
      <c r="N78" s="247" t="s">
        <v>347</v>
      </c>
      <c r="O78" s="247" t="s">
        <v>368</v>
      </c>
      <c r="P78" s="247" t="s">
        <v>369</v>
      </c>
      <c r="Q78" s="214"/>
      <c r="R78" s="214"/>
      <c r="U78" s="2953" t="s">
        <v>73</v>
      </c>
      <c r="V78" s="2953"/>
      <c r="W78" s="2953"/>
      <c r="X78" s="2953"/>
      <c r="Y78" s="214"/>
      <c r="Z78" s="214"/>
    </row>
    <row r="79" spans="13:26" ht="18.75" thickBot="1">
      <c r="M79" s="248" t="s">
        <v>73</v>
      </c>
      <c r="N79" s="248"/>
      <c r="O79" s="248"/>
      <c r="P79" s="248"/>
      <c r="Q79" s="214"/>
      <c r="R79" s="214"/>
      <c r="U79" s="243" t="s">
        <v>362</v>
      </c>
      <c r="V79" s="243" t="s">
        <v>104</v>
      </c>
      <c r="W79" s="243" t="s">
        <v>288</v>
      </c>
      <c r="X79" s="243" t="s">
        <v>102</v>
      </c>
      <c r="Y79" s="214"/>
      <c r="Z79" s="214"/>
    </row>
    <row r="80" spans="13:26" ht="18.75" thickBot="1">
      <c r="M80" s="243" t="s">
        <v>362</v>
      </c>
      <c r="N80" s="243" t="s">
        <v>104</v>
      </c>
      <c r="O80" s="243" t="s">
        <v>288</v>
      </c>
      <c r="P80" s="243" t="s">
        <v>102</v>
      </c>
      <c r="Q80" s="214"/>
      <c r="R80" s="214"/>
      <c r="U80" s="244" t="s">
        <v>341</v>
      </c>
      <c r="V80" s="245" t="s">
        <v>346</v>
      </c>
      <c r="W80" s="245" t="s">
        <v>370</v>
      </c>
      <c r="X80" s="245" t="s">
        <v>371</v>
      </c>
      <c r="Y80" s="214"/>
      <c r="Z80" s="214"/>
    </row>
    <row r="81" spans="13:26" ht="18.75" thickBot="1">
      <c r="M81" s="244" t="s">
        <v>341</v>
      </c>
      <c r="N81" s="245" t="s">
        <v>346</v>
      </c>
      <c r="O81" s="245" t="s">
        <v>370</v>
      </c>
      <c r="P81" s="245" t="s">
        <v>371</v>
      </c>
      <c r="Q81" s="214"/>
      <c r="R81" s="214"/>
      <c r="U81" s="246" t="s">
        <v>365</v>
      </c>
      <c r="V81" s="247" t="s">
        <v>346</v>
      </c>
      <c r="W81" s="247" t="s">
        <v>370</v>
      </c>
      <c r="X81" s="247" t="s">
        <v>371</v>
      </c>
      <c r="Y81" s="214"/>
      <c r="Z81" s="214"/>
    </row>
    <row r="82" spans="13:26" ht="18.75" thickBot="1">
      <c r="M82" s="246" t="s">
        <v>365</v>
      </c>
      <c r="N82" s="247" t="s">
        <v>346</v>
      </c>
      <c r="O82" s="247" t="s">
        <v>370</v>
      </c>
      <c r="P82" s="247" t="s">
        <v>371</v>
      </c>
      <c r="Q82" s="214"/>
      <c r="R82" s="214"/>
      <c r="U82" s="2953" t="s">
        <v>83</v>
      </c>
      <c r="V82" s="2953"/>
      <c r="W82" s="2953"/>
      <c r="X82" s="2953"/>
      <c r="Y82" s="214"/>
      <c r="Z82" s="214"/>
    </row>
    <row r="83" spans="13:26" ht="18.75" thickBot="1">
      <c r="M83" s="248" t="s">
        <v>83</v>
      </c>
      <c r="N83" s="248"/>
      <c r="O83" s="248"/>
      <c r="P83" s="248"/>
      <c r="Q83" s="214"/>
      <c r="R83" s="214"/>
      <c r="U83" s="243" t="s">
        <v>362</v>
      </c>
      <c r="V83" s="243" t="s">
        <v>104</v>
      </c>
      <c r="W83" s="243" t="s">
        <v>288</v>
      </c>
      <c r="X83" s="243" t="s">
        <v>102</v>
      </c>
      <c r="Y83" s="214"/>
      <c r="Z83" s="214"/>
    </row>
    <row r="84" spans="13:26" ht="18.75" thickBot="1">
      <c r="M84" s="243" t="s">
        <v>362</v>
      </c>
      <c r="N84" s="243" t="s">
        <v>104</v>
      </c>
      <c r="O84" s="243" t="s">
        <v>288</v>
      </c>
      <c r="P84" s="243" t="s">
        <v>102</v>
      </c>
      <c r="Q84" s="214"/>
      <c r="R84" s="214"/>
      <c r="U84" s="244" t="s">
        <v>341</v>
      </c>
      <c r="V84" s="245" t="s">
        <v>348</v>
      </c>
      <c r="W84" s="245" t="s">
        <v>372</v>
      </c>
      <c r="X84" s="245" t="s">
        <v>373</v>
      </c>
      <c r="Y84" s="214"/>
      <c r="Z84" s="214"/>
    </row>
    <row r="85" spans="13:26" ht="18.75" thickBot="1">
      <c r="M85" s="244" t="s">
        <v>341</v>
      </c>
      <c r="N85" s="245" t="s">
        <v>374</v>
      </c>
      <c r="O85" s="245" t="s">
        <v>375</v>
      </c>
      <c r="P85" s="245" t="s">
        <v>376</v>
      </c>
      <c r="Q85" s="214"/>
      <c r="R85" s="214"/>
      <c r="U85" s="246" t="s">
        <v>365</v>
      </c>
      <c r="V85" s="249" t="s">
        <v>348</v>
      </c>
      <c r="W85" s="247" t="s">
        <v>372</v>
      </c>
      <c r="X85" s="247" t="s">
        <v>373</v>
      </c>
      <c r="Y85" s="214"/>
      <c r="Z85" s="214"/>
    </row>
    <row r="86" spans="13:26" ht="18.75" thickBot="1">
      <c r="M86" s="246" t="s">
        <v>365</v>
      </c>
      <c r="N86" s="247" t="s">
        <v>374</v>
      </c>
      <c r="O86" s="247" t="s">
        <v>375</v>
      </c>
      <c r="P86" s="247" t="s">
        <v>376</v>
      </c>
      <c r="Q86" s="214"/>
      <c r="R86" s="214"/>
      <c r="U86" s="2953" t="s">
        <v>76</v>
      </c>
      <c r="V86" s="2953"/>
      <c r="W86" s="2953"/>
      <c r="X86" s="2953"/>
      <c r="Y86" s="214"/>
      <c r="Z86" s="214"/>
    </row>
    <row r="87" spans="13:26" ht="18.75" thickBot="1">
      <c r="M87" s="248" t="s">
        <v>76</v>
      </c>
      <c r="N87" s="248"/>
      <c r="O87" s="248"/>
      <c r="P87" s="248"/>
      <c r="Q87" s="214"/>
      <c r="R87" s="214"/>
      <c r="U87" s="243" t="s">
        <v>362</v>
      </c>
      <c r="V87" s="243" t="s">
        <v>104</v>
      </c>
      <c r="W87" s="243" t="s">
        <v>288</v>
      </c>
      <c r="X87" s="243" t="s">
        <v>102</v>
      </c>
      <c r="Y87" s="214"/>
      <c r="Z87" s="214"/>
    </row>
    <row r="88" spans="13:26" ht="18.75" thickBot="1">
      <c r="M88" s="243" t="s">
        <v>362</v>
      </c>
      <c r="N88" s="243" t="s">
        <v>104</v>
      </c>
      <c r="O88" s="243" t="s">
        <v>288</v>
      </c>
      <c r="P88" s="243" t="s">
        <v>102</v>
      </c>
      <c r="Q88" s="214"/>
      <c r="R88" s="214"/>
      <c r="U88" s="244" t="s">
        <v>341</v>
      </c>
      <c r="V88" s="245" t="s">
        <v>344</v>
      </c>
      <c r="W88" s="245" t="s">
        <v>377</v>
      </c>
      <c r="X88" s="245" t="s">
        <v>378</v>
      </c>
      <c r="Y88" s="214"/>
      <c r="Z88" s="214"/>
    </row>
    <row r="89" spans="13:26" ht="18.75" thickBot="1">
      <c r="M89" s="244" t="s">
        <v>341</v>
      </c>
      <c r="N89" s="245" t="s">
        <v>379</v>
      </c>
      <c r="O89" s="245" t="s">
        <v>380</v>
      </c>
      <c r="P89" s="245" t="s">
        <v>381</v>
      </c>
      <c r="Q89" s="214"/>
      <c r="R89" s="214"/>
      <c r="U89" s="246" t="s">
        <v>365</v>
      </c>
      <c r="V89" s="247" t="s">
        <v>344</v>
      </c>
      <c r="W89" s="247" t="s">
        <v>377</v>
      </c>
      <c r="X89" s="247" t="s">
        <v>378</v>
      </c>
      <c r="Y89" s="214"/>
      <c r="Z89" s="214"/>
    </row>
    <row r="90" spans="13:26" ht="18.75" thickBot="1">
      <c r="M90" s="246" t="s">
        <v>365</v>
      </c>
      <c r="N90" s="247" t="s">
        <v>379</v>
      </c>
      <c r="O90" s="247" t="s">
        <v>380</v>
      </c>
      <c r="P90" s="247" t="s">
        <v>381</v>
      </c>
      <c r="Q90" s="214"/>
      <c r="R90" s="214"/>
      <c r="U90" s="2953" t="s">
        <v>68</v>
      </c>
      <c r="V90" s="2953"/>
      <c r="W90" s="2953"/>
      <c r="X90" s="2953"/>
      <c r="Y90" s="214"/>
      <c r="Z90" s="214"/>
    </row>
    <row r="91" spans="13:26" ht="18.75" thickBot="1">
      <c r="M91" s="248" t="s">
        <v>68</v>
      </c>
      <c r="N91" s="248"/>
      <c r="O91" s="248"/>
      <c r="P91" s="248"/>
      <c r="Q91" s="214"/>
      <c r="R91" s="214"/>
      <c r="U91" s="243" t="s">
        <v>362</v>
      </c>
      <c r="V91" s="243" t="s">
        <v>104</v>
      </c>
      <c r="W91" s="243" t="s">
        <v>288</v>
      </c>
      <c r="X91" s="243" t="s">
        <v>102</v>
      </c>
      <c r="Y91" s="214"/>
      <c r="Z91" s="214"/>
    </row>
    <row r="92" spans="13:26" ht="18.75" thickBot="1">
      <c r="M92" s="243" t="s">
        <v>362</v>
      </c>
      <c r="N92" s="243" t="s">
        <v>104</v>
      </c>
      <c r="O92" s="243" t="s">
        <v>288</v>
      </c>
      <c r="P92" s="243" t="s">
        <v>102</v>
      </c>
      <c r="Q92" s="214"/>
      <c r="R92" s="214"/>
      <c r="U92" s="244" t="s">
        <v>341</v>
      </c>
      <c r="V92" s="245" t="s">
        <v>343</v>
      </c>
      <c r="W92" s="245" t="s">
        <v>382</v>
      </c>
      <c r="X92" s="245" t="s">
        <v>383</v>
      </c>
      <c r="Y92" s="214"/>
      <c r="Z92" s="214"/>
    </row>
    <row r="93" spans="13:26" ht="18.75" thickBot="1">
      <c r="M93" s="244" t="s">
        <v>341</v>
      </c>
      <c r="N93" s="245" t="s">
        <v>384</v>
      </c>
      <c r="O93" s="245" t="s">
        <v>385</v>
      </c>
      <c r="P93" s="245" t="s">
        <v>386</v>
      </c>
      <c r="Q93" s="214"/>
      <c r="R93" s="214"/>
      <c r="U93" s="246" t="s">
        <v>365</v>
      </c>
      <c r="V93" s="247" t="s">
        <v>343</v>
      </c>
      <c r="W93" s="247" t="s">
        <v>382</v>
      </c>
      <c r="X93" s="247" t="s">
        <v>383</v>
      </c>
      <c r="Y93" s="214"/>
      <c r="Z93" s="214"/>
    </row>
    <row r="94" spans="13:26" ht="18.75" thickBot="1">
      <c r="M94" s="246" t="s">
        <v>365</v>
      </c>
      <c r="N94" s="247" t="s">
        <v>384</v>
      </c>
      <c r="O94" s="247" t="s">
        <v>385</v>
      </c>
      <c r="P94" s="247" t="s">
        <v>386</v>
      </c>
      <c r="Q94" s="214"/>
      <c r="R94" s="214"/>
      <c r="U94" s="250" t="s">
        <v>387</v>
      </c>
      <c r="V94" s="251" t="s">
        <v>388</v>
      </c>
      <c r="W94" s="251" t="s">
        <v>389</v>
      </c>
      <c r="X94" s="251" t="s">
        <v>390</v>
      </c>
      <c r="Y94" s="214"/>
      <c r="Z94" s="214"/>
    </row>
    <row r="95" spans="13:26" ht="18">
      <c r="M95" s="250" t="s">
        <v>387</v>
      </c>
      <c r="N95" s="251" t="s">
        <v>391</v>
      </c>
      <c r="O95" s="251" t="s">
        <v>392</v>
      </c>
      <c r="P95" s="251" t="s">
        <v>393</v>
      </c>
      <c r="Q95" s="214"/>
      <c r="R95" s="214"/>
      <c r="V95" s="252">
        <v>3521427409</v>
      </c>
      <c r="W95" s="251" t="s">
        <v>389</v>
      </c>
      <c r="X95" s="251" t="s">
        <v>390</v>
      </c>
    </row>
    <row r="96" spans="13:26" ht="18" customHeight="1">
      <c r="U96" s="77" t="s">
        <v>394</v>
      </c>
    </row>
    <row r="97" spans="21:30" ht="18">
      <c r="U97" s="223">
        <v>1278679319</v>
      </c>
      <c r="V97" s="223">
        <v>1025720</v>
      </c>
      <c r="W97" s="223">
        <v>17217</v>
      </c>
      <c r="X97" s="224" t="s">
        <v>395</v>
      </c>
      <c r="Y97" s="225"/>
      <c r="Z97" s="225"/>
      <c r="AA97" s="225"/>
      <c r="AB97" s="225"/>
      <c r="AC97" s="225"/>
      <c r="AD97" s="226"/>
    </row>
    <row r="98" spans="21:30" ht="18">
      <c r="U98" s="223">
        <v>3521407309</v>
      </c>
      <c r="V98" s="223">
        <v>3611656</v>
      </c>
      <c r="W98" s="223">
        <v>64460</v>
      </c>
    </row>
  </sheetData>
  <mergeCells count="53">
    <mergeCell ref="U74:X74"/>
    <mergeCell ref="U78:X78"/>
    <mergeCell ref="U82:X82"/>
    <mergeCell ref="U86:X86"/>
    <mergeCell ref="U90:X90"/>
    <mergeCell ref="U70:X70"/>
    <mergeCell ref="F37:J37"/>
    <mergeCell ref="P37:T37"/>
    <mergeCell ref="Z37:AD37"/>
    <mergeCell ref="F38:J38"/>
    <mergeCell ref="P38:T38"/>
    <mergeCell ref="Z38:AD38"/>
    <mergeCell ref="F42:J44"/>
    <mergeCell ref="U44:Y44"/>
    <mergeCell ref="U45:Y45"/>
    <mergeCell ref="U63:Y63"/>
    <mergeCell ref="U66:X66"/>
    <mergeCell ref="A35:E35"/>
    <mergeCell ref="K35:O35"/>
    <mergeCell ref="U35:Y35"/>
    <mergeCell ref="A36:E36"/>
    <mergeCell ref="K36:O36"/>
    <mergeCell ref="U36:Y36"/>
    <mergeCell ref="AD23:AD24"/>
    <mergeCell ref="P23:P24"/>
    <mergeCell ref="Q23:R23"/>
    <mergeCell ref="S23:S24"/>
    <mergeCell ref="T23:T24"/>
    <mergeCell ref="U23:U24"/>
    <mergeCell ref="V23:W23"/>
    <mergeCell ref="X23:X24"/>
    <mergeCell ref="Y23:Y24"/>
    <mergeCell ref="Z23:Z24"/>
    <mergeCell ref="AA23:AB23"/>
    <mergeCell ref="AC23:AC24"/>
    <mergeCell ref="O23:O24"/>
    <mergeCell ref="A23:A24"/>
    <mergeCell ref="B23:C23"/>
    <mergeCell ref="D23:D24"/>
    <mergeCell ref="E23:E24"/>
    <mergeCell ref="F23:F24"/>
    <mergeCell ref="G23:H23"/>
    <mergeCell ref="I23:I24"/>
    <mergeCell ref="J23:J24"/>
    <mergeCell ref="K23:K24"/>
    <mergeCell ref="L23:M23"/>
    <mergeCell ref="N23:N24"/>
    <mergeCell ref="Z22:AD22"/>
    <mergeCell ref="A22:E22"/>
    <mergeCell ref="F22:J22"/>
    <mergeCell ref="K22:O22"/>
    <mergeCell ref="P22:T22"/>
    <mergeCell ref="U22:Y22"/>
  </mergeCells>
  <printOptions horizontalCentered="1" verticalCentered="1"/>
  <pageMargins left="0.78740157480314965" right="0.78740157480314965" top="0.98425196850393704" bottom="0.98425196850393704" header="0" footer="0"/>
  <pageSetup paperSize="9" firstPageNumber="33" pageOrder="overThenDown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3:G47"/>
  <sheetViews>
    <sheetView rightToLeft="1" workbookViewId="0">
      <selection activeCell="A46" sqref="A1:E46"/>
    </sheetView>
  </sheetViews>
  <sheetFormatPr defaultColWidth="7" defaultRowHeight="15.75"/>
  <cols>
    <col min="1" max="1" width="16.25" style="19" customWidth="1"/>
    <col min="2" max="3" width="13.75" style="19" customWidth="1"/>
    <col min="4" max="5" width="11.875" style="19" customWidth="1"/>
    <col min="6" max="14" width="7" style="19"/>
    <col min="15" max="16" width="7" style="19" customWidth="1"/>
    <col min="17" max="16384" width="7" style="19"/>
  </cols>
  <sheetData>
    <row r="3" ht="17.25" customHeight="1"/>
    <row r="4" ht="17.25" customHeight="1"/>
    <row r="5" ht="17.25" customHeight="1"/>
    <row r="6" ht="17.25" customHeight="1"/>
    <row r="7" ht="17.25" customHeight="1"/>
    <row r="8" ht="17.25" customHeight="1"/>
    <row r="9" ht="17.25" customHeight="1"/>
    <row r="10" ht="17.25" customHeight="1"/>
    <row r="11" ht="17.25" customHeight="1"/>
    <row r="12" ht="17.25" customHeight="1"/>
    <row r="13" ht="17.25" customHeight="1"/>
    <row r="14" ht="5.25" customHeight="1"/>
    <row r="15" ht="17.25" customHeight="1"/>
    <row r="17" spans="1:7" ht="9.75" customHeight="1"/>
    <row r="18" spans="1:7" ht="20.25" customHeight="1" thickBot="1">
      <c r="A18" s="2960" t="s">
        <v>396</v>
      </c>
      <c r="B18" s="2960"/>
      <c r="C18" s="2960"/>
      <c r="D18" s="2960"/>
      <c r="E18" s="2960"/>
    </row>
    <row r="19" spans="1:7" ht="20.25" customHeight="1">
      <c r="A19" s="2961" t="s">
        <v>1</v>
      </c>
      <c r="B19" s="2963" t="s">
        <v>283</v>
      </c>
      <c r="C19" s="2964"/>
      <c r="D19" s="2965" t="s">
        <v>318</v>
      </c>
      <c r="E19" s="2967" t="s">
        <v>284</v>
      </c>
    </row>
    <row r="20" spans="1:7" ht="20.25" customHeight="1" thickBot="1">
      <c r="A20" s="2962"/>
      <c r="B20" s="253">
        <v>1401</v>
      </c>
      <c r="C20" s="253">
        <v>1402</v>
      </c>
      <c r="D20" s="2966"/>
      <c r="E20" s="2968"/>
    </row>
    <row r="21" spans="1:7" ht="14.25" customHeight="1">
      <c r="A21" s="254" t="s">
        <v>68</v>
      </c>
      <c r="B21" s="1947">
        <v>75930</v>
      </c>
      <c r="C21" s="1948">
        <v>66324</v>
      </c>
      <c r="D21" s="255">
        <f>C21-B21</f>
        <v>-9606</v>
      </c>
      <c r="E21" s="256">
        <f>D21/B21</f>
        <v>-0.12651126037139471</v>
      </c>
    </row>
    <row r="22" spans="1:7" ht="14.25" customHeight="1">
      <c r="A22" s="254" t="s">
        <v>69</v>
      </c>
      <c r="B22" s="1947">
        <v>5518</v>
      </c>
      <c r="C22" s="1948">
        <v>7826</v>
      </c>
      <c r="D22" s="255">
        <f t="shared" ref="D22:D44" si="0">C22-B22</f>
        <v>2308</v>
      </c>
      <c r="E22" s="256">
        <f t="shared" ref="E22:E44" si="1">D22/B22</f>
        <v>0.41826748822036969</v>
      </c>
      <c r="G22" s="257"/>
    </row>
    <row r="23" spans="1:7" ht="14.25" customHeight="1">
      <c r="A23" s="254" t="s">
        <v>70</v>
      </c>
      <c r="B23" s="1947">
        <v>19096</v>
      </c>
      <c r="C23" s="1948">
        <v>19510</v>
      </c>
      <c r="D23" s="255">
        <f t="shared" si="0"/>
        <v>414</v>
      </c>
      <c r="E23" s="256">
        <f t="shared" si="1"/>
        <v>2.1679932970255552E-2</v>
      </c>
    </row>
    <row r="24" spans="1:7" ht="14.25" customHeight="1">
      <c r="A24" s="254" t="s">
        <v>71</v>
      </c>
      <c r="B24" s="1947">
        <v>35542</v>
      </c>
      <c r="C24" s="1948">
        <v>34624</v>
      </c>
      <c r="D24" s="255">
        <f t="shared" si="0"/>
        <v>-918</v>
      </c>
      <c r="E24" s="256">
        <f t="shared" si="1"/>
        <v>-2.5828597152664452E-2</v>
      </c>
    </row>
    <row r="25" spans="1:7" ht="14.25" customHeight="1">
      <c r="A25" s="254" t="s">
        <v>72</v>
      </c>
      <c r="B25" s="1947">
        <v>3648</v>
      </c>
      <c r="C25" s="1948">
        <v>4205</v>
      </c>
      <c r="D25" s="255">
        <f t="shared" si="0"/>
        <v>557</v>
      </c>
      <c r="E25" s="256">
        <f t="shared" si="1"/>
        <v>0.15268640350877194</v>
      </c>
    </row>
    <row r="26" spans="1:7" ht="14.25" customHeight="1">
      <c r="A26" s="254" t="s">
        <v>73</v>
      </c>
      <c r="B26" s="1947">
        <v>20941</v>
      </c>
      <c r="C26" s="1948">
        <v>22334</v>
      </c>
      <c r="D26" s="255">
        <f t="shared" si="0"/>
        <v>1393</v>
      </c>
      <c r="E26" s="256">
        <f t="shared" si="1"/>
        <v>6.6520223485029367E-2</v>
      </c>
    </row>
    <row r="27" spans="1:7" ht="14.25" customHeight="1">
      <c r="A27" s="254" t="s">
        <v>74</v>
      </c>
      <c r="B27" s="1947">
        <v>6101</v>
      </c>
      <c r="C27" s="1948">
        <v>6952</v>
      </c>
      <c r="D27" s="255">
        <f t="shared" si="0"/>
        <v>851</v>
      </c>
      <c r="E27" s="256">
        <f t="shared" si="1"/>
        <v>0.13948533027372562</v>
      </c>
    </row>
    <row r="28" spans="1:7" ht="14.25" customHeight="1">
      <c r="A28" s="254" t="s">
        <v>75</v>
      </c>
      <c r="B28" s="1947">
        <v>6446</v>
      </c>
      <c r="C28" s="1948">
        <v>7395</v>
      </c>
      <c r="D28" s="255">
        <f>C28-B28</f>
        <v>949</v>
      </c>
      <c r="E28" s="256">
        <f>D28/B28</f>
        <v>0.14722308408315235</v>
      </c>
    </row>
    <row r="29" spans="1:7" ht="14.25" customHeight="1">
      <c r="A29" s="254" t="s">
        <v>76</v>
      </c>
      <c r="B29" s="1947">
        <v>40685</v>
      </c>
      <c r="C29" s="1948">
        <v>42842</v>
      </c>
      <c r="D29" s="255">
        <f t="shared" si="0"/>
        <v>2157</v>
      </c>
      <c r="E29" s="256">
        <f t="shared" si="1"/>
        <v>5.3017082462824133E-2</v>
      </c>
    </row>
    <row r="30" spans="1:7" ht="14.25" customHeight="1">
      <c r="A30" s="254" t="s">
        <v>77</v>
      </c>
      <c r="B30" s="1947">
        <v>5587</v>
      </c>
      <c r="C30" s="1948">
        <v>2767</v>
      </c>
      <c r="D30" s="255">
        <f t="shared" si="0"/>
        <v>-2820</v>
      </c>
      <c r="E30" s="256">
        <f t="shared" si="1"/>
        <v>-0.5047431537497763</v>
      </c>
    </row>
    <row r="31" spans="1:7" ht="14.25" customHeight="1">
      <c r="A31" s="254" t="s">
        <v>78</v>
      </c>
      <c r="B31" s="1947">
        <v>34158</v>
      </c>
      <c r="C31" s="1948">
        <v>23947</v>
      </c>
      <c r="D31" s="255">
        <f t="shared" si="0"/>
        <v>-10211</v>
      </c>
      <c r="E31" s="256">
        <f t="shared" si="1"/>
        <v>-0.29893436383863226</v>
      </c>
    </row>
    <row r="32" spans="1:7" ht="14.25" customHeight="1">
      <c r="A32" s="254" t="s">
        <v>79</v>
      </c>
      <c r="B32" s="1947">
        <v>61663</v>
      </c>
      <c r="C32" s="1948">
        <v>49602</v>
      </c>
      <c r="D32" s="255">
        <f t="shared" si="0"/>
        <v>-12061</v>
      </c>
      <c r="E32" s="256">
        <f t="shared" si="1"/>
        <v>-0.19559541378135997</v>
      </c>
    </row>
    <row r="33" spans="1:5" ht="14.25" customHeight="1">
      <c r="A33" s="254" t="s">
        <v>80</v>
      </c>
      <c r="B33" s="1947">
        <v>166881</v>
      </c>
      <c r="C33" s="1948">
        <v>150203</v>
      </c>
      <c r="D33" s="255">
        <f t="shared" si="0"/>
        <v>-16678</v>
      </c>
      <c r="E33" s="256">
        <f t="shared" si="1"/>
        <v>-9.993947783150868E-2</v>
      </c>
    </row>
    <row r="34" spans="1:5" ht="14.25" customHeight="1">
      <c r="A34" s="254" t="s">
        <v>81</v>
      </c>
      <c r="B34" s="1947">
        <v>20796</v>
      </c>
      <c r="C34" s="1948">
        <v>22839</v>
      </c>
      <c r="D34" s="255">
        <f>C34-B34</f>
        <v>2043</v>
      </c>
      <c r="E34" s="256">
        <f>D34/B34</f>
        <v>9.8240046162723596E-2</v>
      </c>
    </row>
    <row r="35" spans="1:5" ht="14.25" customHeight="1">
      <c r="A35" s="254" t="s">
        <v>82</v>
      </c>
      <c r="B35" s="1947">
        <v>4619</v>
      </c>
      <c r="C35" s="1948">
        <v>2893</v>
      </c>
      <c r="D35" s="255">
        <f t="shared" si="0"/>
        <v>-1726</v>
      </c>
      <c r="E35" s="256">
        <f t="shared" si="1"/>
        <v>-0.37367395540160209</v>
      </c>
    </row>
    <row r="36" spans="1:5" ht="14.25" customHeight="1">
      <c r="A36" s="254" t="s">
        <v>83</v>
      </c>
      <c r="B36" s="1947">
        <v>114588</v>
      </c>
      <c r="C36" s="1948">
        <v>105545</v>
      </c>
      <c r="D36" s="255">
        <f t="shared" si="0"/>
        <v>-9043</v>
      </c>
      <c r="E36" s="256">
        <f t="shared" si="1"/>
        <v>-7.8917513177645129E-2</v>
      </c>
    </row>
    <row r="37" spans="1:5" ht="14.25" customHeight="1">
      <c r="A37" s="254" t="s">
        <v>87</v>
      </c>
      <c r="B37" s="1947">
        <v>3297</v>
      </c>
      <c r="C37" s="1948">
        <v>5488</v>
      </c>
      <c r="D37" s="255">
        <f>C37-B37</f>
        <v>2191</v>
      </c>
      <c r="E37" s="256">
        <f>D37/B37</f>
        <v>0.66454352441613584</v>
      </c>
    </row>
    <row r="38" spans="1:5" ht="14.25" customHeight="1">
      <c r="A38" s="254" t="s">
        <v>86</v>
      </c>
      <c r="B38" s="1947">
        <v>2110</v>
      </c>
      <c r="C38" s="1948">
        <v>2834</v>
      </c>
      <c r="D38" s="255">
        <f>C38-B38</f>
        <v>724</v>
      </c>
      <c r="E38" s="256">
        <f>D38/B38</f>
        <v>0.34312796208530805</v>
      </c>
    </row>
    <row r="39" spans="1:5" ht="14.25" customHeight="1">
      <c r="A39" s="254" t="s">
        <v>84</v>
      </c>
      <c r="B39" s="1947">
        <v>76688</v>
      </c>
      <c r="C39" s="1948">
        <v>88696</v>
      </c>
      <c r="D39" s="255">
        <f t="shared" si="0"/>
        <v>12008</v>
      </c>
      <c r="E39" s="256">
        <f t="shared" si="1"/>
        <v>0.15658251616941374</v>
      </c>
    </row>
    <row r="40" spans="1:5" ht="14.25" customHeight="1">
      <c r="A40" s="254" t="s">
        <v>85</v>
      </c>
      <c r="B40" s="1947">
        <v>4938</v>
      </c>
      <c r="C40" s="1948">
        <v>5672</v>
      </c>
      <c r="D40" s="255">
        <f t="shared" si="0"/>
        <v>734</v>
      </c>
      <c r="E40" s="256">
        <f t="shared" si="1"/>
        <v>0.14864317537464561</v>
      </c>
    </row>
    <row r="41" spans="1:5" ht="14.25" customHeight="1">
      <c r="A41" s="254" t="s">
        <v>88</v>
      </c>
      <c r="B41" s="1949">
        <v>4045</v>
      </c>
      <c r="C41" s="1948">
        <v>5171</v>
      </c>
      <c r="D41" s="255">
        <f t="shared" si="0"/>
        <v>1126</v>
      </c>
      <c r="E41" s="256">
        <f t="shared" si="1"/>
        <v>0.27836835599505561</v>
      </c>
    </row>
    <row r="42" spans="1:5" ht="14.25" customHeight="1">
      <c r="A42" s="254" t="s">
        <v>397</v>
      </c>
      <c r="B42" s="1950">
        <v>5962</v>
      </c>
      <c r="C42" s="1948">
        <v>5975</v>
      </c>
      <c r="D42" s="255">
        <f t="shared" si="0"/>
        <v>13</v>
      </c>
      <c r="E42" s="256">
        <f t="shared" si="1"/>
        <v>2.1804763502180475E-3</v>
      </c>
    </row>
    <row r="43" spans="1:5" ht="14.25" customHeight="1" thickBot="1">
      <c r="A43" s="254" t="s">
        <v>398</v>
      </c>
      <c r="B43" s="1951">
        <v>5905</v>
      </c>
      <c r="C43" s="1948">
        <v>5393</v>
      </c>
      <c r="D43" s="255">
        <f t="shared" si="0"/>
        <v>-512</v>
      </c>
      <c r="E43" s="256">
        <f t="shared" si="1"/>
        <v>-8.6706181202370877E-2</v>
      </c>
    </row>
    <row r="44" spans="1:5" ht="18.75" customHeight="1" thickBot="1">
      <c r="A44" s="85" t="s">
        <v>49</v>
      </c>
      <c r="B44" s="1952">
        <v>725144</v>
      </c>
      <c r="C44" s="1952">
        <f>SUM(C21:C43)</f>
        <v>689037</v>
      </c>
      <c r="D44" s="258">
        <f t="shared" si="0"/>
        <v>-36107</v>
      </c>
      <c r="E44" s="259">
        <f t="shared" si="1"/>
        <v>-4.9792868726763237E-2</v>
      </c>
    </row>
    <row r="45" spans="1:5" ht="1.5" customHeight="1"/>
    <row r="46" spans="1:5">
      <c r="A46" s="2959" t="s">
        <v>399</v>
      </c>
      <c r="B46" s="2959"/>
      <c r="C46" s="2959"/>
      <c r="D46" s="2959"/>
      <c r="E46" s="2959"/>
    </row>
    <row r="47" spans="1:5">
      <c r="A47" s="260"/>
    </row>
  </sheetData>
  <mergeCells count="6">
    <mergeCell ref="A46:E46"/>
    <mergeCell ref="A18:E18"/>
    <mergeCell ref="A19:A20"/>
    <mergeCell ref="B19:C19"/>
    <mergeCell ref="D19:D20"/>
    <mergeCell ref="E19:E20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3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AE67"/>
  <sheetViews>
    <sheetView rightToLeft="1" zoomScaleNormal="100" workbookViewId="0">
      <pane xSplit="1" ySplit="2" topLeftCell="E12" activePane="bottomRight" state="frozen"/>
      <selection activeCell="A17" sqref="A17:Y17"/>
      <selection pane="topRight" activeCell="A17" sqref="A17:Y17"/>
      <selection pane="bottomLeft" activeCell="A17" sqref="A17:Y17"/>
      <selection pane="bottomRight" sqref="A1:Y16"/>
    </sheetView>
  </sheetViews>
  <sheetFormatPr defaultColWidth="7" defaultRowHeight="15.75"/>
  <cols>
    <col min="1" max="1" width="7.875" style="19" bestFit="1" customWidth="1"/>
    <col min="2" max="2" width="8.875" style="19" bestFit="1" customWidth="1"/>
    <col min="3" max="3" width="7.875" style="19" bestFit="1" customWidth="1"/>
    <col min="4" max="10" width="8.875" style="19" bestFit="1" customWidth="1"/>
    <col min="11" max="11" width="7.375" style="19" bestFit="1" customWidth="1"/>
    <col min="12" max="13" width="8.875" style="19" bestFit="1" customWidth="1"/>
    <col min="14" max="14" width="9.875" style="19" bestFit="1" customWidth="1"/>
    <col min="15" max="15" width="8.875" style="19" bestFit="1" customWidth="1"/>
    <col min="16" max="16" width="7.375" style="19" bestFit="1" customWidth="1"/>
    <col min="17" max="18" width="8.875" style="19" bestFit="1" customWidth="1"/>
    <col min="19" max="22" width="7.375" style="19" bestFit="1" customWidth="1"/>
    <col min="23" max="23" width="8.625" style="19" bestFit="1" customWidth="1"/>
    <col min="24" max="24" width="7.375" style="19" bestFit="1" customWidth="1"/>
    <col min="25" max="25" width="9.875" style="19" bestFit="1" customWidth="1"/>
    <col min="26" max="27" width="7" style="19"/>
    <col min="28" max="28" width="5.25" style="19" bestFit="1" customWidth="1"/>
    <col min="29" max="29" width="7" style="19"/>
    <col min="30" max="30" width="6.75" style="19" bestFit="1" customWidth="1"/>
    <col min="31" max="16384" width="7" style="19"/>
  </cols>
  <sheetData>
    <row r="1" spans="1:31" ht="39.75" customHeight="1" thickBot="1">
      <c r="A1" s="2969" t="s">
        <v>2019</v>
      </c>
      <c r="B1" s="2969"/>
      <c r="C1" s="2969"/>
      <c r="D1" s="2969"/>
      <c r="E1" s="2969"/>
      <c r="F1" s="2969"/>
      <c r="G1" s="2969"/>
      <c r="H1" s="2969"/>
      <c r="I1" s="2969"/>
      <c r="J1" s="2969"/>
      <c r="K1" s="2969"/>
      <c r="L1" s="2969"/>
      <c r="M1" s="2969"/>
      <c r="N1" s="2969"/>
      <c r="O1" s="2969"/>
      <c r="P1" s="2969"/>
      <c r="Q1" s="2969"/>
      <c r="R1" s="2969"/>
      <c r="S1" s="2969"/>
      <c r="T1" s="2969"/>
      <c r="U1" s="2969"/>
      <c r="V1" s="2969"/>
      <c r="W1" s="2969"/>
      <c r="X1" s="2969"/>
      <c r="Y1" s="2969"/>
    </row>
    <row r="2" spans="1:31" ht="63" customHeight="1" thickBot="1">
      <c r="A2" s="1953" t="s">
        <v>1</v>
      </c>
      <c r="B2" s="1954" t="s">
        <v>68</v>
      </c>
      <c r="C2" s="1955" t="s">
        <v>69</v>
      </c>
      <c r="D2" s="1955" t="s">
        <v>70</v>
      </c>
      <c r="E2" s="1955" t="s">
        <v>71</v>
      </c>
      <c r="F2" s="1955" t="s">
        <v>72</v>
      </c>
      <c r="G2" s="1955" t="s">
        <v>73</v>
      </c>
      <c r="H2" s="1955" t="s">
        <v>400</v>
      </c>
      <c r="I2" s="1955" t="s">
        <v>401</v>
      </c>
      <c r="J2" s="1955" t="s">
        <v>76</v>
      </c>
      <c r="K2" s="1955" t="s">
        <v>77</v>
      </c>
      <c r="L2" s="1955" t="s">
        <v>78</v>
      </c>
      <c r="M2" s="1955" t="s">
        <v>79</v>
      </c>
      <c r="N2" s="1955" t="s">
        <v>402</v>
      </c>
      <c r="O2" s="1955" t="s">
        <v>403</v>
      </c>
      <c r="P2" s="1955" t="s">
        <v>82</v>
      </c>
      <c r="Q2" s="1955" t="s">
        <v>83</v>
      </c>
      <c r="R2" s="1956" t="s">
        <v>84</v>
      </c>
      <c r="S2" s="1956" t="s">
        <v>85</v>
      </c>
      <c r="T2" s="1956" t="s">
        <v>87</v>
      </c>
      <c r="U2" s="1956" t="s">
        <v>86</v>
      </c>
      <c r="V2" s="1956" t="s">
        <v>88</v>
      </c>
      <c r="W2" s="1957" t="s">
        <v>404</v>
      </c>
      <c r="X2" s="1958" t="s">
        <v>90</v>
      </c>
      <c r="Y2" s="1959" t="s">
        <v>49</v>
      </c>
    </row>
    <row r="3" spans="1:31" ht="44.25" customHeight="1">
      <c r="A3" s="1960" t="s">
        <v>37</v>
      </c>
      <c r="B3" s="1961">
        <v>366230</v>
      </c>
      <c r="C3" s="1962">
        <v>25990</v>
      </c>
      <c r="D3" s="1962">
        <v>91061</v>
      </c>
      <c r="E3" s="1962">
        <v>139769</v>
      </c>
      <c r="F3" s="1963">
        <v>21452</v>
      </c>
      <c r="G3" s="1964">
        <v>98267</v>
      </c>
      <c r="H3" s="1963">
        <v>20116</v>
      </c>
      <c r="I3" s="1963">
        <v>35644</v>
      </c>
      <c r="J3" s="1964">
        <v>170791</v>
      </c>
      <c r="K3" s="1963">
        <v>25864</v>
      </c>
      <c r="L3" s="1965">
        <v>96907</v>
      </c>
      <c r="M3" s="1963">
        <v>310611</v>
      </c>
      <c r="N3" s="1964">
        <v>1049406</v>
      </c>
      <c r="O3" s="1963">
        <v>135630</v>
      </c>
      <c r="P3" s="1964">
        <v>13147</v>
      </c>
      <c r="Q3" s="1963">
        <v>610514</v>
      </c>
      <c r="R3" s="1964">
        <v>587792</v>
      </c>
      <c r="S3" s="1963">
        <v>15691</v>
      </c>
      <c r="T3" s="1963">
        <v>9642</v>
      </c>
      <c r="U3" s="1964">
        <v>25885</v>
      </c>
      <c r="V3" s="1964">
        <v>28964</v>
      </c>
      <c r="W3" s="1964">
        <v>9140</v>
      </c>
      <c r="X3" s="1966">
        <v>11925</v>
      </c>
      <c r="Y3" s="1967">
        <f>SUM(B3:X3)</f>
        <v>3900438</v>
      </c>
      <c r="Z3" s="26"/>
      <c r="AB3" s="19">
        <v>14370</v>
      </c>
    </row>
    <row r="4" spans="1:31" ht="44.25" customHeight="1">
      <c r="A4" s="1968" t="s">
        <v>38</v>
      </c>
      <c r="B4" s="1969">
        <v>319601</v>
      </c>
      <c r="C4" s="1970">
        <v>42050</v>
      </c>
      <c r="D4" s="1970">
        <v>105922</v>
      </c>
      <c r="E4" s="1970">
        <v>168716</v>
      </c>
      <c r="F4" s="1970">
        <v>19101</v>
      </c>
      <c r="G4" s="1971">
        <v>133766</v>
      </c>
      <c r="H4" s="1970">
        <v>37156</v>
      </c>
      <c r="I4" s="1970">
        <v>41623</v>
      </c>
      <c r="J4" s="1971">
        <v>169119</v>
      </c>
      <c r="K4" s="1970">
        <v>15458</v>
      </c>
      <c r="L4" s="1971">
        <v>63567</v>
      </c>
      <c r="M4" s="1970">
        <v>265041</v>
      </c>
      <c r="N4" s="1971">
        <v>1021911</v>
      </c>
      <c r="O4" s="1970">
        <v>152828</v>
      </c>
      <c r="P4" s="1971">
        <v>14302</v>
      </c>
      <c r="Q4" s="1970">
        <v>591895</v>
      </c>
      <c r="R4" s="1971">
        <v>548767</v>
      </c>
      <c r="S4" s="1970">
        <v>10664</v>
      </c>
      <c r="T4" s="1970">
        <v>33800</v>
      </c>
      <c r="U4" s="1971">
        <v>45140</v>
      </c>
      <c r="V4" s="1971">
        <v>18955</v>
      </c>
      <c r="W4" s="1971">
        <v>9700</v>
      </c>
      <c r="X4" s="1972">
        <v>10550</v>
      </c>
      <c r="Y4" s="1967">
        <f t="shared" ref="Y4:Y15" si="0">SUM(B4:X4)</f>
        <v>3839632</v>
      </c>
      <c r="Z4" s="26"/>
      <c r="AB4" s="19">
        <v>12646</v>
      </c>
    </row>
    <row r="5" spans="1:31" ht="44.25" customHeight="1">
      <c r="A5" s="1968" t="s">
        <v>39</v>
      </c>
      <c r="B5" s="1969">
        <v>283815</v>
      </c>
      <c r="C5" s="1970">
        <v>52819</v>
      </c>
      <c r="D5" s="1970">
        <v>92352</v>
      </c>
      <c r="E5" s="1970">
        <v>151003</v>
      </c>
      <c r="F5" s="1970">
        <v>24530</v>
      </c>
      <c r="G5" s="1971">
        <v>123467</v>
      </c>
      <c r="H5" s="1970">
        <v>36845</v>
      </c>
      <c r="I5" s="1970">
        <v>42918</v>
      </c>
      <c r="J5" s="1971">
        <v>210702</v>
      </c>
      <c r="K5" s="1970">
        <v>8489</v>
      </c>
      <c r="L5" s="1971">
        <v>70468</v>
      </c>
      <c r="M5" s="1970">
        <v>265947</v>
      </c>
      <c r="N5" s="1971">
        <v>1086780</v>
      </c>
      <c r="O5" s="1970">
        <v>173031</v>
      </c>
      <c r="P5" s="1971">
        <v>15113</v>
      </c>
      <c r="Q5" s="1970">
        <v>601417</v>
      </c>
      <c r="R5" s="1971">
        <v>492173</v>
      </c>
      <c r="S5" s="1970">
        <v>22910</v>
      </c>
      <c r="T5" s="1970">
        <v>45206</v>
      </c>
      <c r="U5" s="1971">
        <v>32050</v>
      </c>
      <c r="V5" s="1971">
        <v>20180</v>
      </c>
      <c r="W5" s="1971">
        <v>9400</v>
      </c>
      <c r="X5" s="1972">
        <v>11700</v>
      </c>
      <c r="Y5" s="1967">
        <f t="shared" si="0"/>
        <v>3873315</v>
      </c>
      <c r="Z5" s="26"/>
      <c r="AB5" s="19">
        <v>12013</v>
      </c>
      <c r="AC5" s="75"/>
      <c r="AE5" s="262"/>
    </row>
    <row r="6" spans="1:31" ht="44.25" customHeight="1">
      <c r="A6" s="1968" t="s">
        <v>40</v>
      </c>
      <c r="B6" s="1969">
        <v>247260</v>
      </c>
      <c r="C6" s="1970">
        <v>36635</v>
      </c>
      <c r="D6" s="1970">
        <v>110781</v>
      </c>
      <c r="E6" s="1970">
        <v>132901</v>
      </c>
      <c r="F6" s="1970">
        <v>28098</v>
      </c>
      <c r="G6" s="1971">
        <v>112195</v>
      </c>
      <c r="H6" s="1970">
        <v>32906</v>
      </c>
      <c r="I6" s="1970">
        <v>31340</v>
      </c>
      <c r="J6" s="1971">
        <v>153175</v>
      </c>
      <c r="K6" s="1970">
        <v>6875</v>
      </c>
      <c r="L6" s="1971">
        <v>55937</v>
      </c>
      <c r="M6" s="1970">
        <v>253383</v>
      </c>
      <c r="N6" s="1971">
        <v>894608</v>
      </c>
      <c r="O6" s="1970">
        <v>121588</v>
      </c>
      <c r="P6" s="1971">
        <v>13077</v>
      </c>
      <c r="Q6" s="1970">
        <v>506302</v>
      </c>
      <c r="R6" s="1971">
        <v>490842</v>
      </c>
      <c r="S6" s="1970">
        <v>44398</v>
      </c>
      <c r="T6" s="1970">
        <v>49759</v>
      </c>
      <c r="U6" s="1971">
        <v>14346</v>
      </c>
      <c r="V6" s="1971">
        <v>24136</v>
      </c>
      <c r="W6" s="1971">
        <v>9460</v>
      </c>
      <c r="X6" s="1972">
        <v>9975</v>
      </c>
      <c r="Y6" s="1967">
        <f t="shared" si="0"/>
        <v>3379977</v>
      </c>
      <c r="Z6" s="26"/>
      <c r="AB6" s="19">
        <v>12027</v>
      </c>
      <c r="AE6" s="262"/>
    </row>
    <row r="7" spans="1:31" ht="44.25" customHeight="1">
      <c r="A7" s="1968" t="s">
        <v>41</v>
      </c>
      <c r="B7" s="1969">
        <v>204101</v>
      </c>
      <c r="C7" s="1970">
        <v>43765</v>
      </c>
      <c r="D7" s="1970">
        <v>126672</v>
      </c>
      <c r="E7" s="1970">
        <v>129283</v>
      </c>
      <c r="F7" s="1970">
        <v>23020</v>
      </c>
      <c r="G7" s="1971">
        <v>134747</v>
      </c>
      <c r="H7" s="1970">
        <v>32972</v>
      </c>
      <c r="I7" s="1970">
        <v>35043</v>
      </c>
      <c r="J7" s="1971">
        <v>140244</v>
      </c>
      <c r="K7" s="1970">
        <v>9822</v>
      </c>
      <c r="L7" s="1971">
        <v>60133</v>
      </c>
      <c r="M7" s="1970">
        <v>229473</v>
      </c>
      <c r="N7" s="1971">
        <v>837618</v>
      </c>
      <c r="O7" s="1970">
        <v>126396</v>
      </c>
      <c r="P7" s="1971">
        <v>9333</v>
      </c>
      <c r="Q7" s="1970">
        <v>410298</v>
      </c>
      <c r="R7" s="1971">
        <v>614465</v>
      </c>
      <c r="S7" s="1970">
        <v>20457</v>
      </c>
      <c r="T7" s="1970">
        <v>39728</v>
      </c>
      <c r="U7" s="1971">
        <v>9520</v>
      </c>
      <c r="V7" s="1971">
        <v>62684</v>
      </c>
      <c r="W7" s="1971">
        <v>10040</v>
      </c>
      <c r="X7" s="1972">
        <v>10800</v>
      </c>
      <c r="Y7" s="1967">
        <f t="shared" si="0"/>
        <v>3320614</v>
      </c>
      <c r="Z7" s="26"/>
      <c r="AB7" s="19">
        <v>12950</v>
      </c>
      <c r="AE7" s="262"/>
    </row>
    <row r="8" spans="1:31" ht="44.25" customHeight="1">
      <c r="A8" s="1968" t="s">
        <v>42</v>
      </c>
      <c r="B8" s="1969">
        <v>236827</v>
      </c>
      <c r="C8" s="1970">
        <v>19840</v>
      </c>
      <c r="D8" s="1970">
        <v>120280</v>
      </c>
      <c r="E8" s="1970">
        <v>150119</v>
      </c>
      <c r="F8" s="1970">
        <v>25175</v>
      </c>
      <c r="G8" s="1971">
        <v>111915</v>
      </c>
      <c r="H8" s="1970">
        <v>32271</v>
      </c>
      <c r="I8" s="1970">
        <v>40741</v>
      </c>
      <c r="J8" s="1971">
        <v>194464</v>
      </c>
      <c r="K8" s="1970">
        <v>8877</v>
      </c>
      <c r="L8" s="1971">
        <v>98400</v>
      </c>
      <c r="M8" s="1970">
        <v>247037</v>
      </c>
      <c r="N8" s="1971">
        <v>924114</v>
      </c>
      <c r="O8" s="1970">
        <v>126696</v>
      </c>
      <c r="P8" s="1971">
        <v>7498</v>
      </c>
      <c r="Q8" s="1970">
        <v>540262</v>
      </c>
      <c r="R8" s="1971">
        <v>642329</v>
      </c>
      <c r="S8" s="1970">
        <v>20984</v>
      </c>
      <c r="T8" s="1970">
        <v>21997</v>
      </c>
      <c r="U8" s="1971">
        <v>8195</v>
      </c>
      <c r="V8" s="1971">
        <v>70815</v>
      </c>
      <c r="W8" s="1971">
        <v>10100</v>
      </c>
      <c r="X8" s="1972">
        <v>11475</v>
      </c>
      <c r="Y8" s="1967">
        <f t="shared" si="0"/>
        <v>3670411</v>
      </c>
      <c r="Z8" s="26"/>
      <c r="AB8" s="19">
        <v>14662</v>
      </c>
      <c r="AC8" s="75"/>
      <c r="AE8" s="262"/>
    </row>
    <row r="9" spans="1:31" ht="44.25" customHeight="1">
      <c r="A9" s="1968" t="s">
        <v>43</v>
      </c>
      <c r="B9" s="1969">
        <v>329152</v>
      </c>
      <c r="C9" s="1970">
        <v>42615</v>
      </c>
      <c r="D9" s="1970">
        <v>101650</v>
      </c>
      <c r="E9" s="1970">
        <v>166957</v>
      </c>
      <c r="F9" s="1970">
        <v>17447</v>
      </c>
      <c r="G9" s="1971">
        <v>87679</v>
      </c>
      <c r="H9" s="1970">
        <v>43583</v>
      </c>
      <c r="I9" s="1970">
        <v>33575</v>
      </c>
      <c r="J9" s="1971">
        <v>222998</v>
      </c>
      <c r="K9" s="1970">
        <v>5425</v>
      </c>
      <c r="L9" s="1971">
        <v>73805</v>
      </c>
      <c r="M9" s="1970">
        <v>268344</v>
      </c>
      <c r="N9" s="1971">
        <v>954670</v>
      </c>
      <c r="O9" s="1970">
        <v>124150</v>
      </c>
      <c r="P9" s="1971">
        <v>6331</v>
      </c>
      <c r="Q9" s="1970">
        <v>453955</v>
      </c>
      <c r="R9" s="1971">
        <v>637627</v>
      </c>
      <c r="S9" s="1970">
        <v>11872</v>
      </c>
      <c r="T9" s="1970">
        <v>37195</v>
      </c>
      <c r="U9" s="1971">
        <v>17250</v>
      </c>
      <c r="V9" s="1971">
        <v>37099</v>
      </c>
      <c r="W9" s="1971">
        <v>9980</v>
      </c>
      <c r="X9" s="1972">
        <v>11800</v>
      </c>
      <c r="Y9" s="1967">
        <f t="shared" si="0"/>
        <v>3695159</v>
      </c>
      <c r="Z9" s="26"/>
      <c r="AB9" s="19">
        <v>15176</v>
      </c>
      <c r="AE9" s="262"/>
    </row>
    <row r="10" spans="1:31" ht="44.25" customHeight="1">
      <c r="A10" s="1968" t="s">
        <v>405</v>
      </c>
      <c r="B10" s="1969">
        <v>271004</v>
      </c>
      <c r="C10" s="1970">
        <v>46380</v>
      </c>
      <c r="D10" s="1970">
        <v>85275</v>
      </c>
      <c r="E10" s="1970">
        <v>168156</v>
      </c>
      <c r="F10" s="1970">
        <v>18910</v>
      </c>
      <c r="G10" s="1971">
        <v>74023</v>
      </c>
      <c r="H10" s="1970">
        <v>37166</v>
      </c>
      <c r="I10" s="1970">
        <v>40091</v>
      </c>
      <c r="J10" s="1971">
        <v>210047</v>
      </c>
      <c r="K10" s="1970">
        <v>5185</v>
      </c>
      <c r="L10" s="1971">
        <v>99685</v>
      </c>
      <c r="M10" s="1970">
        <v>295466</v>
      </c>
      <c r="N10" s="1971">
        <v>910435</v>
      </c>
      <c r="O10" s="1970">
        <v>121869</v>
      </c>
      <c r="P10" s="1971">
        <v>9702</v>
      </c>
      <c r="Q10" s="1970">
        <v>547281</v>
      </c>
      <c r="R10" s="1971">
        <v>630299</v>
      </c>
      <c r="S10" s="1970">
        <v>27875</v>
      </c>
      <c r="T10" s="1970">
        <v>28591</v>
      </c>
      <c r="U10" s="1971">
        <v>5165</v>
      </c>
      <c r="V10" s="1971">
        <v>23853</v>
      </c>
      <c r="W10" s="1971">
        <v>10540</v>
      </c>
      <c r="X10" s="1972">
        <v>11500</v>
      </c>
      <c r="Y10" s="1967">
        <f t="shared" si="0"/>
        <v>3678498</v>
      </c>
      <c r="Z10" s="26"/>
      <c r="AB10" s="19">
        <v>14760</v>
      </c>
      <c r="AE10" s="262"/>
    </row>
    <row r="11" spans="1:31" ht="44.25" customHeight="1">
      <c r="A11" s="1968" t="s">
        <v>45</v>
      </c>
      <c r="B11" s="1969">
        <v>303300</v>
      </c>
      <c r="C11" s="1970">
        <v>26820</v>
      </c>
      <c r="D11" s="1970">
        <v>77381</v>
      </c>
      <c r="E11" s="1970">
        <v>154901</v>
      </c>
      <c r="F11" s="1970">
        <v>18329</v>
      </c>
      <c r="G11" s="1971">
        <v>63634</v>
      </c>
      <c r="H11" s="1970">
        <v>31884</v>
      </c>
      <c r="I11" s="1970">
        <v>37188</v>
      </c>
      <c r="J11" s="1971">
        <v>215724</v>
      </c>
      <c r="K11" s="1970">
        <v>5459</v>
      </c>
      <c r="L11" s="1971">
        <v>99026</v>
      </c>
      <c r="M11" s="1970">
        <v>254427</v>
      </c>
      <c r="N11" s="1971">
        <v>773655</v>
      </c>
      <c r="O11" s="1970">
        <v>135613</v>
      </c>
      <c r="P11" s="1971">
        <v>10689</v>
      </c>
      <c r="Q11" s="1970">
        <v>497451</v>
      </c>
      <c r="R11" s="1971">
        <v>582886</v>
      </c>
      <c r="S11" s="1970">
        <v>32503</v>
      </c>
      <c r="T11" s="1970">
        <v>22710</v>
      </c>
      <c r="U11" s="1971">
        <v>8225</v>
      </c>
      <c r="V11" s="1971">
        <v>9041</v>
      </c>
      <c r="W11" s="1971">
        <v>10520</v>
      </c>
      <c r="X11" s="1972">
        <v>11250</v>
      </c>
      <c r="Y11" s="1967">
        <f t="shared" si="0"/>
        <v>3382616</v>
      </c>
      <c r="Z11" s="26"/>
      <c r="AB11" s="19">
        <v>12735</v>
      </c>
      <c r="AC11" s="75"/>
      <c r="AE11" s="262"/>
    </row>
    <row r="12" spans="1:31" ht="44.25" customHeight="1">
      <c r="A12" s="1968" t="s">
        <v>406</v>
      </c>
      <c r="B12" s="1969">
        <v>254736</v>
      </c>
      <c r="C12" s="1970">
        <v>39035</v>
      </c>
      <c r="D12" s="1970">
        <v>56745</v>
      </c>
      <c r="E12" s="1970">
        <v>160171</v>
      </c>
      <c r="F12" s="1970">
        <v>22507</v>
      </c>
      <c r="G12" s="1971">
        <v>87294</v>
      </c>
      <c r="H12" s="1970">
        <v>31393</v>
      </c>
      <c r="I12" s="1970">
        <v>35192</v>
      </c>
      <c r="J12" s="1971">
        <v>205114</v>
      </c>
      <c r="K12" s="1970">
        <v>9843</v>
      </c>
      <c r="L12" s="1971">
        <v>93836</v>
      </c>
      <c r="M12" s="1970">
        <v>248192</v>
      </c>
      <c r="N12" s="1971">
        <v>932196</v>
      </c>
      <c r="O12" s="1970">
        <v>69178</v>
      </c>
      <c r="P12" s="1971">
        <v>6359</v>
      </c>
      <c r="Q12" s="1970">
        <v>473968</v>
      </c>
      <c r="R12" s="1971">
        <v>526381</v>
      </c>
      <c r="S12" s="1970">
        <v>61949</v>
      </c>
      <c r="T12" s="1970">
        <v>17576</v>
      </c>
      <c r="U12" s="1971">
        <v>2730</v>
      </c>
      <c r="V12" s="1971">
        <v>21447</v>
      </c>
      <c r="W12" s="1971">
        <v>10880</v>
      </c>
      <c r="X12" s="1972">
        <v>12000</v>
      </c>
      <c r="Y12" s="1967">
        <f t="shared" si="0"/>
        <v>3378722</v>
      </c>
      <c r="Z12" s="26"/>
      <c r="AB12" s="19">
        <v>15345</v>
      </c>
      <c r="AE12" s="262"/>
    </row>
    <row r="13" spans="1:31" ht="44.25" customHeight="1">
      <c r="A13" s="1968" t="s">
        <v>47</v>
      </c>
      <c r="B13" s="1969">
        <v>308552</v>
      </c>
      <c r="C13" s="1970">
        <v>34180</v>
      </c>
      <c r="D13" s="1970">
        <v>54315</v>
      </c>
      <c r="E13" s="1970">
        <v>165174</v>
      </c>
      <c r="F13" s="1970">
        <v>12721</v>
      </c>
      <c r="G13" s="1971">
        <v>106541</v>
      </c>
      <c r="H13" s="1970">
        <v>31353</v>
      </c>
      <c r="I13" s="1970">
        <v>36327</v>
      </c>
      <c r="J13" s="1971">
        <v>226083</v>
      </c>
      <c r="K13" s="1970">
        <v>40827</v>
      </c>
      <c r="L13" s="1971">
        <v>88505</v>
      </c>
      <c r="M13" s="1970">
        <v>262627</v>
      </c>
      <c r="N13" s="1971">
        <v>856408</v>
      </c>
      <c r="O13" s="1970">
        <v>78539</v>
      </c>
      <c r="P13" s="1971">
        <v>8717</v>
      </c>
      <c r="Q13" s="1970">
        <v>545153</v>
      </c>
      <c r="R13" s="1971">
        <v>509831</v>
      </c>
      <c r="S13" s="1970">
        <v>80284</v>
      </c>
      <c r="T13" s="1970">
        <v>19417</v>
      </c>
      <c r="U13" s="1971">
        <v>4890</v>
      </c>
      <c r="V13" s="1971">
        <v>10227</v>
      </c>
      <c r="W13" s="1971">
        <v>10060</v>
      </c>
      <c r="X13" s="1972">
        <v>11100</v>
      </c>
      <c r="Y13" s="1967">
        <f t="shared" si="0"/>
        <v>3501831</v>
      </c>
      <c r="Z13" s="26"/>
      <c r="AB13" s="19">
        <v>16252</v>
      </c>
      <c r="AE13" s="262"/>
    </row>
    <row r="14" spans="1:31" ht="44.25" customHeight="1" thickBot="1">
      <c r="A14" s="1973" t="s">
        <v>48</v>
      </c>
      <c r="B14" s="1974">
        <v>262213</v>
      </c>
      <c r="C14" s="1975">
        <v>35530</v>
      </c>
      <c r="D14" s="1975">
        <v>81494</v>
      </c>
      <c r="E14" s="1975">
        <v>136974</v>
      </c>
      <c r="F14" s="1975">
        <v>9214</v>
      </c>
      <c r="G14" s="1976">
        <v>149674</v>
      </c>
      <c r="H14" s="1975">
        <v>36646</v>
      </c>
      <c r="I14" s="1975">
        <v>44952</v>
      </c>
      <c r="J14" s="1976">
        <v>241936</v>
      </c>
      <c r="K14" s="1975">
        <v>30900</v>
      </c>
      <c r="L14" s="1976">
        <v>107937</v>
      </c>
      <c r="M14" s="1975">
        <v>187083</v>
      </c>
      <c r="N14" s="1976">
        <v>833170</v>
      </c>
      <c r="O14" s="1975">
        <v>84269</v>
      </c>
      <c r="P14" s="1976">
        <v>6746</v>
      </c>
      <c r="Q14" s="1975">
        <v>520103</v>
      </c>
      <c r="R14" s="1976">
        <v>497953</v>
      </c>
      <c r="S14" s="1975">
        <v>27898</v>
      </c>
      <c r="T14" s="1975">
        <v>25205</v>
      </c>
      <c r="U14" s="1976">
        <v>3185</v>
      </c>
      <c r="V14" s="1976">
        <v>12460</v>
      </c>
      <c r="W14" s="1976">
        <v>9680</v>
      </c>
      <c r="X14" s="1977">
        <v>10750</v>
      </c>
      <c r="Y14" s="1967">
        <f t="shared" si="0"/>
        <v>3355972</v>
      </c>
      <c r="Z14" s="26"/>
      <c r="AB14" s="19">
        <v>12264</v>
      </c>
      <c r="AC14" s="75"/>
      <c r="AE14" s="262"/>
    </row>
    <row r="15" spans="1:31" ht="40.5" customHeight="1" thickBot="1">
      <c r="A15" s="1978" t="s">
        <v>49</v>
      </c>
      <c r="B15" s="1979">
        <f t="shared" ref="B15:X15" si="1">SUM(B3:B14)</f>
        <v>3386791</v>
      </c>
      <c r="C15" s="1980">
        <f t="shared" si="1"/>
        <v>445659</v>
      </c>
      <c r="D15" s="1980">
        <f t="shared" si="1"/>
        <v>1103928</v>
      </c>
      <c r="E15" s="1980">
        <f t="shared" si="1"/>
        <v>1824124</v>
      </c>
      <c r="F15" s="1980">
        <f t="shared" si="1"/>
        <v>240504</v>
      </c>
      <c r="G15" s="1980">
        <f t="shared" si="1"/>
        <v>1283202</v>
      </c>
      <c r="H15" s="1980">
        <f t="shared" si="1"/>
        <v>404291</v>
      </c>
      <c r="I15" s="1980">
        <f t="shared" si="1"/>
        <v>454634</v>
      </c>
      <c r="J15" s="1980">
        <f t="shared" si="1"/>
        <v>2360397</v>
      </c>
      <c r="K15" s="1980">
        <f t="shared" si="1"/>
        <v>173024</v>
      </c>
      <c r="L15" s="1980">
        <f t="shared" si="1"/>
        <v>1008206</v>
      </c>
      <c r="M15" s="1980">
        <f t="shared" si="1"/>
        <v>3087631</v>
      </c>
      <c r="N15" s="1980">
        <f t="shared" si="1"/>
        <v>11074971</v>
      </c>
      <c r="O15" s="1980">
        <f t="shared" si="1"/>
        <v>1449787</v>
      </c>
      <c r="P15" s="1980">
        <f t="shared" si="1"/>
        <v>121014</v>
      </c>
      <c r="Q15" s="1980">
        <f t="shared" si="1"/>
        <v>6298599</v>
      </c>
      <c r="R15" s="1981">
        <f t="shared" si="1"/>
        <v>6761345</v>
      </c>
      <c r="S15" s="1981">
        <f t="shared" si="1"/>
        <v>377485</v>
      </c>
      <c r="T15" s="1981">
        <f t="shared" si="1"/>
        <v>350826</v>
      </c>
      <c r="U15" s="1981">
        <f t="shared" si="1"/>
        <v>176581</v>
      </c>
      <c r="V15" s="1981">
        <f t="shared" si="1"/>
        <v>339861</v>
      </c>
      <c r="W15" s="1981">
        <f t="shared" si="1"/>
        <v>119500</v>
      </c>
      <c r="X15" s="1982">
        <f t="shared" si="1"/>
        <v>134825</v>
      </c>
      <c r="Y15" s="1983">
        <f t="shared" si="0"/>
        <v>42977185</v>
      </c>
      <c r="AE15" s="262"/>
    </row>
    <row r="16" spans="1:31">
      <c r="A16" s="2970" t="s">
        <v>407</v>
      </c>
      <c r="B16" s="2970"/>
      <c r="C16" s="2970"/>
      <c r="D16" s="2970"/>
      <c r="E16" s="2970"/>
      <c r="F16" s="2970"/>
      <c r="G16" s="2970"/>
      <c r="H16" s="2970"/>
      <c r="I16" s="2970"/>
      <c r="J16" s="2970"/>
      <c r="K16" s="2970"/>
      <c r="L16" s="2970"/>
      <c r="M16" s="2970"/>
      <c r="N16" s="2970"/>
      <c r="O16" s="2970"/>
      <c r="P16" s="2970"/>
      <c r="Q16" s="2970"/>
      <c r="R16" s="2970"/>
      <c r="S16" s="2970"/>
      <c r="T16" s="2970"/>
      <c r="U16" s="2970"/>
      <c r="V16" s="2970"/>
      <c r="W16" s="2970"/>
      <c r="X16" s="2970"/>
      <c r="Y16" s="2970"/>
    </row>
    <row r="17" spans="2:30">
      <c r="Y17" s="75"/>
    </row>
    <row r="18" spans="2:30">
      <c r="O18" s="263"/>
      <c r="Y18" s="75">
        <f>+Y15/1000</f>
        <v>42977.184999999998</v>
      </c>
      <c r="AD18" s="19" t="e">
        <f>+(AD14-AD11)/AD11</f>
        <v>#DIV/0!</v>
      </c>
    </row>
    <row r="21" spans="2:30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  <row r="22" spans="2:30"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2"/>
      <c r="T22" s="22"/>
      <c r="U22" s="22"/>
      <c r="V22" s="22"/>
      <c r="W22" s="22"/>
    </row>
    <row r="23" spans="2:30"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64"/>
      <c r="P23" s="22"/>
      <c r="Q23" s="22"/>
      <c r="R23" s="22"/>
      <c r="S23" s="22"/>
      <c r="T23" s="22"/>
      <c r="U23" s="22"/>
      <c r="V23" s="22"/>
      <c r="W23" s="22"/>
    </row>
    <row r="24" spans="2:30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30"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30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30"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30">
      <c r="B28" s="75" t="s">
        <v>408</v>
      </c>
      <c r="C28" s="75" t="s">
        <v>78</v>
      </c>
      <c r="D28" s="75" t="s">
        <v>70</v>
      </c>
      <c r="E28" s="75" t="s">
        <v>79</v>
      </c>
      <c r="F28" s="75" t="s">
        <v>71</v>
      </c>
      <c r="G28" s="75" t="s">
        <v>68</v>
      </c>
      <c r="H28" s="75" t="s">
        <v>82</v>
      </c>
      <c r="I28" s="75" t="s">
        <v>76</v>
      </c>
      <c r="J28" s="75" t="s">
        <v>86</v>
      </c>
      <c r="K28" s="75" t="s">
        <v>84</v>
      </c>
      <c r="L28" s="75" t="s">
        <v>72</v>
      </c>
      <c r="M28" s="75" t="s">
        <v>73</v>
      </c>
      <c r="N28" s="75" t="s">
        <v>74</v>
      </c>
      <c r="O28" s="75" t="s">
        <v>75</v>
      </c>
      <c r="P28" s="75" t="s">
        <v>77</v>
      </c>
      <c r="Q28" s="75" t="s">
        <v>88</v>
      </c>
      <c r="R28" s="75" t="s">
        <v>85</v>
      </c>
      <c r="S28" s="75" t="s">
        <v>87</v>
      </c>
      <c r="T28" s="75" t="s">
        <v>81</v>
      </c>
      <c r="U28" s="75" t="s">
        <v>69</v>
      </c>
      <c r="V28" s="75" t="s">
        <v>83</v>
      </c>
      <c r="W28" s="75" t="s">
        <v>80</v>
      </c>
    </row>
    <row r="29" spans="2:30">
      <c r="B29" s="75" t="s">
        <v>409</v>
      </c>
      <c r="C29" s="75">
        <v>96907</v>
      </c>
      <c r="D29" s="75">
        <v>91061</v>
      </c>
      <c r="E29" s="75">
        <v>310611</v>
      </c>
      <c r="F29" s="75">
        <v>139769</v>
      </c>
      <c r="G29" s="75">
        <v>366230</v>
      </c>
      <c r="H29" s="75">
        <v>13147</v>
      </c>
      <c r="I29" s="75">
        <v>170791</v>
      </c>
      <c r="J29" s="75">
        <v>25885</v>
      </c>
      <c r="K29" s="75">
        <v>587792</v>
      </c>
      <c r="L29" s="75">
        <v>21452</v>
      </c>
      <c r="M29" s="75">
        <v>98267</v>
      </c>
      <c r="N29" s="75">
        <v>20116</v>
      </c>
      <c r="O29" s="75">
        <v>35644</v>
      </c>
      <c r="P29" s="75">
        <v>25864</v>
      </c>
      <c r="Q29" s="75">
        <v>28964</v>
      </c>
      <c r="R29" s="75">
        <v>15691</v>
      </c>
      <c r="S29" s="75">
        <v>9642</v>
      </c>
      <c r="T29" s="75">
        <v>135630</v>
      </c>
      <c r="U29" s="75">
        <v>25990</v>
      </c>
      <c r="V29" s="75">
        <v>610514</v>
      </c>
      <c r="W29" s="75">
        <v>1049406</v>
      </c>
    </row>
    <row r="30" spans="2:30">
      <c r="B30" s="75" t="s">
        <v>410</v>
      </c>
      <c r="C30" s="75">
        <v>63567</v>
      </c>
      <c r="D30" s="75">
        <v>105922</v>
      </c>
      <c r="E30" s="75">
        <v>265041</v>
      </c>
      <c r="F30" s="75">
        <v>168716</v>
      </c>
      <c r="G30" s="75">
        <v>319601</v>
      </c>
      <c r="H30" s="75">
        <v>14302</v>
      </c>
      <c r="I30" s="75">
        <v>169119</v>
      </c>
      <c r="J30" s="75">
        <v>45140</v>
      </c>
      <c r="K30" s="75">
        <v>548767</v>
      </c>
      <c r="L30" s="75">
        <v>19101</v>
      </c>
      <c r="M30" s="75">
        <v>133766</v>
      </c>
      <c r="N30" s="75">
        <v>37156</v>
      </c>
      <c r="O30" s="75">
        <v>41623</v>
      </c>
      <c r="P30" s="75">
        <v>15458</v>
      </c>
      <c r="Q30" s="75">
        <v>18955</v>
      </c>
      <c r="R30" s="75">
        <v>10664</v>
      </c>
      <c r="S30" s="75">
        <v>33800</v>
      </c>
      <c r="T30" s="75">
        <v>152828</v>
      </c>
      <c r="U30" s="75">
        <v>42050</v>
      </c>
      <c r="V30" s="75">
        <v>591895</v>
      </c>
      <c r="W30" s="75">
        <v>1021911</v>
      </c>
    </row>
    <row r="31" spans="2:30">
      <c r="B31" s="75" t="s">
        <v>39</v>
      </c>
      <c r="C31" s="75">
        <v>70468</v>
      </c>
      <c r="D31" s="75">
        <v>92352</v>
      </c>
      <c r="E31" s="75">
        <v>265947</v>
      </c>
      <c r="F31" s="75">
        <v>151003</v>
      </c>
      <c r="G31" s="75">
        <v>283815</v>
      </c>
      <c r="H31" s="75">
        <v>15113</v>
      </c>
      <c r="I31" s="75">
        <v>210702</v>
      </c>
      <c r="J31" s="75">
        <v>32050</v>
      </c>
      <c r="K31" s="75">
        <v>492173</v>
      </c>
      <c r="L31" s="75">
        <v>24530</v>
      </c>
      <c r="M31" s="75">
        <v>123467</v>
      </c>
      <c r="N31" s="75">
        <v>36845</v>
      </c>
      <c r="O31" s="75">
        <v>42918</v>
      </c>
      <c r="P31" s="75">
        <v>8489</v>
      </c>
      <c r="Q31" s="75">
        <v>20180</v>
      </c>
      <c r="R31" s="75">
        <v>22910</v>
      </c>
      <c r="S31" s="75">
        <v>45206</v>
      </c>
      <c r="T31" s="75">
        <v>173031</v>
      </c>
      <c r="U31" s="75">
        <v>52819</v>
      </c>
      <c r="V31" s="75">
        <v>601417</v>
      </c>
      <c r="W31" s="75">
        <v>1086780</v>
      </c>
    </row>
    <row r="32" spans="2:30">
      <c r="B32" s="75" t="s">
        <v>411</v>
      </c>
      <c r="C32" s="75">
        <v>55937</v>
      </c>
      <c r="D32" s="75">
        <v>110781</v>
      </c>
      <c r="E32" s="75">
        <v>253383</v>
      </c>
      <c r="F32" s="75">
        <v>132901</v>
      </c>
      <c r="G32" s="75">
        <v>247260</v>
      </c>
      <c r="H32" s="75">
        <v>13077</v>
      </c>
      <c r="I32" s="75">
        <v>153175</v>
      </c>
      <c r="J32" s="75">
        <v>14346</v>
      </c>
      <c r="K32" s="75">
        <v>490842</v>
      </c>
      <c r="L32" s="75">
        <v>28098</v>
      </c>
      <c r="M32" s="75">
        <v>112195</v>
      </c>
      <c r="N32" s="75">
        <v>32906</v>
      </c>
      <c r="O32" s="75">
        <v>31340</v>
      </c>
      <c r="P32" s="75">
        <v>6875</v>
      </c>
      <c r="Q32" s="75">
        <v>24136</v>
      </c>
      <c r="R32" s="75">
        <v>44398</v>
      </c>
      <c r="S32" s="75">
        <v>49759</v>
      </c>
      <c r="T32" s="75">
        <v>121588</v>
      </c>
      <c r="U32" s="75">
        <v>36635</v>
      </c>
      <c r="V32" s="75">
        <v>506302</v>
      </c>
      <c r="W32" s="75">
        <v>894608</v>
      </c>
    </row>
    <row r="33" spans="2:23">
      <c r="B33" s="75" t="s">
        <v>41</v>
      </c>
      <c r="C33" s="75">
        <v>60133</v>
      </c>
      <c r="D33" s="75">
        <v>126672</v>
      </c>
      <c r="E33" s="75">
        <v>229473</v>
      </c>
      <c r="F33" s="75">
        <v>129283</v>
      </c>
      <c r="G33" s="75">
        <v>204101</v>
      </c>
      <c r="H33" s="75">
        <v>9333</v>
      </c>
      <c r="I33" s="75">
        <v>140244</v>
      </c>
      <c r="J33" s="75">
        <v>9520</v>
      </c>
      <c r="K33" s="75">
        <v>614465</v>
      </c>
      <c r="L33" s="75">
        <v>23020</v>
      </c>
      <c r="M33" s="75">
        <v>134747</v>
      </c>
      <c r="N33" s="75">
        <v>32972</v>
      </c>
      <c r="O33" s="75">
        <v>35043</v>
      </c>
      <c r="P33" s="75">
        <v>9822</v>
      </c>
      <c r="Q33" s="75">
        <v>62684</v>
      </c>
      <c r="R33" s="75">
        <v>20457</v>
      </c>
      <c r="S33" s="75">
        <v>39728</v>
      </c>
      <c r="T33" s="75">
        <v>126396</v>
      </c>
      <c r="U33" s="75">
        <v>43765</v>
      </c>
      <c r="V33" s="75">
        <v>410298</v>
      </c>
      <c r="W33" s="75">
        <v>837618</v>
      </c>
    </row>
    <row r="34" spans="2:23">
      <c r="B34" s="75" t="s">
        <v>412</v>
      </c>
      <c r="C34" s="75">
        <v>98400</v>
      </c>
      <c r="D34" s="75">
        <v>120280</v>
      </c>
      <c r="E34" s="75">
        <v>247037</v>
      </c>
      <c r="F34" s="75">
        <v>150119</v>
      </c>
      <c r="G34" s="75">
        <v>236827</v>
      </c>
      <c r="H34" s="75">
        <v>7498</v>
      </c>
      <c r="I34" s="75">
        <v>194464</v>
      </c>
      <c r="J34" s="75">
        <v>8195</v>
      </c>
      <c r="K34" s="75">
        <v>642329</v>
      </c>
      <c r="L34" s="75">
        <v>25175</v>
      </c>
      <c r="M34" s="75">
        <v>111915</v>
      </c>
      <c r="N34" s="75">
        <v>32271</v>
      </c>
      <c r="O34" s="75">
        <v>40741</v>
      </c>
      <c r="P34" s="75">
        <v>8877</v>
      </c>
      <c r="Q34" s="75">
        <v>70815</v>
      </c>
      <c r="R34" s="75">
        <v>20984</v>
      </c>
      <c r="S34" s="75">
        <v>21997</v>
      </c>
      <c r="T34" s="75">
        <v>126696</v>
      </c>
      <c r="U34" s="75">
        <v>19840</v>
      </c>
      <c r="V34" s="75">
        <v>540262</v>
      </c>
      <c r="W34" s="75">
        <v>924114</v>
      </c>
    </row>
    <row r="35" spans="2:23">
      <c r="B35" s="75" t="s">
        <v>43</v>
      </c>
      <c r="C35" s="75">
        <v>73805</v>
      </c>
      <c r="D35" s="75">
        <v>101650</v>
      </c>
      <c r="E35" s="75">
        <v>268344</v>
      </c>
      <c r="F35" s="75">
        <v>166957</v>
      </c>
      <c r="G35" s="75">
        <v>329152</v>
      </c>
      <c r="H35" s="75">
        <v>6331</v>
      </c>
      <c r="I35" s="75">
        <v>222998</v>
      </c>
      <c r="J35" s="75">
        <v>17250</v>
      </c>
      <c r="K35" s="75">
        <v>637627</v>
      </c>
      <c r="L35" s="75">
        <v>17447</v>
      </c>
      <c r="M35" s="75">
        <v>87679</v>
      </c>
      <c r="N35" s="75">
        <v>43583</v>
      </c>
      <c r="O35" s="75">
        <v>33575</v>
      </c>
      <c r="P35" s="75">
        <v>5425</v>
      </c>
      <c r="Q35" s="75">
        <v>37099</v>
      </c>
      <c r="R35" s="75">
        <v>11872</v>
      </c>
      <c r="S35" s="75">
        <v>37195</v>
      </c>
      <c r="T35" s="75">
        <v>124150</v>
      </c>
      <c r="U35" s="75">
        <v>42615</v>
      </c>
      <c r="V35" s="75">
        <v>453955</v>
      </c>
      <c r="W35" s="75">
        <v>954670</v>
      </c>
    </row>
    <row r="36" spans="2:23">
      <c r="B36" s="75" t="s">
        <v>405</v>
      </c>
      <c r="C36" s="75">
        <v>99685</v>
      </c>
      <c r="D36" s="75">
        <v>85275</v>
      </c>
      <c r="E36" s="75">
        <v>295466</v>
      </c>
      <c r="F36" s="75">
        <v>168156</v>
      </c>
      <c r="G36" s="75">
        <v>271004</v>
      </c>
      <c r="H36" s="75">
        <v>9702</v>
      </c>
      <c r="I36" s="75">
        <v>210047</v>
      </c>
      <c r="J36" s="75">
        <v>5165</v>
      </c>
      <c r="K36" s="75">
        <v>630299</v>
      </c>
      <c r="L36" s="75">
        <v>18910</v>
      </c>
      <c r="M36" s="75">
        <v>74023</v>
      </c>
      <c r="N36" s="75">
        <v>37166</v>
      </c>
      <c r="O36" s="75">
        <v>40091</v>
      </c>
      <c r="P36" s="75">
        <v>5185</v>
      </c>
      <c r="Q36" s="75">
        <v>23853</v>
      </c>
      <c r="R36" s="75">
        <v>27875</v>
      </c>
      <c r="S36" s="75">
        <v>28591</v>
      </c>
      <c r="T36" s="75">
        <v>121869</v>
      </c>
      <c r="U36" s="75">
        <v>46380</v>
      </c>
      <c r="V36" s="75">
        <v>547281</v>
      </c>
      <c r="W36" s="75">
        <v>910435</v>
      </c>
    </row>
    <row r="37" spans="2:23">
      <c r="B37" s="75" t="s">
        <v>45</v>
      </c>
      <c r="C37" s="75">
        <v>99026</v>
      </c>
      <c r="D37" s="75">
        <v>77381</v>
      </c>
      <c r="E37" s="75">
        <v>254427</v>
      </c>
      <c r="F37" s="75">
        <v>154901</v>
      </c>
      <c r="G37" s="75">
        <v>303300</v>
      </c>
      <c r="H37" s="75">
        <v>10689</v>
      </c>
      <c r="I37" s="75">
        <v>215724</v>
      </c>
      <c r="J37" s="75">
        <v>8225</v>
      </c>
      <c r="K37" s="75">
        <v>582886</v>
      </c>
      <c r="L37" s="75">
        <v>18329</v>
      </c>
      <c r="M37" s="75">
        <v>63634</v>
      </c>
      <c r="N37" s="75">
        <v>31884</v>
      </c>
      <c r="O37" s="75">
        <v>37188</v>
      </c>
      <c r="P37" s="75">
        <v>5459</v>
      </c>
      <c r="Q37" s="75">
        <v>9041</v>
      </c>
      <c r="R37" s="75">
        <v>32503</v>
      </c>
      <c r="S37" s="75">
        <v>22710</v>
      </c>
      <c r="T37" s="75">
        <v>135613</v>
      </c>
      <c r="U37" s="75">
        <v>26820</v>
      </c>
      <c r="V37" s="75">
        <v>497451</v>
      </c>
      <c r="W37" s="75">
        <v>773655</v>
      </c>
    </row>
    <row r="38" spans="2:23">
      <c r="B38" s="75" t="s">
        <v>413</v>
      </c>
      <c r="C38" s="75">
        <v>93836</v>
      </c>
      <c r="D38" s="75">
        <v>56745</v>
      </c>
      <c r="E38" s="75">
        <v>248192</v>
      </c>
      <c r="F38" s="75">
        <v>160171</v>
      </c>
      <c r="G38" s="75">
        <v>254736</v>
      </c>
      <c r="H38" s="75">
        <v>6359</v>
      </c>
      <c r="I38" s="75">
        <v>205114</v>
      </c>
      <c r="J38" s="75">
        <v>2730</v>
      </c>
      <c r="K38" s="75">
        <v>526381</v>
      </c>
      <c r="L38" s="75">
        <v>22507</v>
      </c>
      <c r="M38" s="75">
        <v>87294</v>
      </c>
      <c r="N38" s="75">
        <v>31393</v>
      </c>
      <c r="O38" s="75">
        <v>35192</v>
      </c>
      <c r="P38" s="75">
        <v>9843</v>
      </c>
      <c r="Q38" s="75">
        <v>21447</v>
      </c>
      <c r="R38" s="75">
        <v>61949</v>
      </c>
      <c r="S38" s="75">
        <v>17576</v>
      </c>
      <c r="T38" s="75">
        <v>69178</v>
      </c>
      <c r="U38" s="75">
        <v>39035</v>
      </c>
      <c r="V38" s="75">
        <v>473968</v>
      </c>
      <c r="W38" s="75">
        <v>932196</v>
      </c>
    </row>
    <row r="39" spans="2:23">
      <c r="B39" s="75" t="s">
        <v>47</v>
      </c>
      <c r="C39" s="75">
        <v>88505</v>
      </c>
      <c r="D39" s="75">
        <v>54315</v>
      </c>
      <c r="E39" s="75">
        <v>262627</v>
      </c>
      <c r="F39" s="75">
        <v>165174</v>
      </c>
      <c r="G39" s="75">
        <v>308552</v>
      </c>
      <c r="H39" s="75">
        <v>8717</v>
      </c>
      <c r="I39" s="75">
        <v>226083</v>
      </c>
      <c r="J39" s="75">
        <v>4890</v>
      </c>
      <c r="K39" s="75">
        <v>509831</v>
      </c>
      <c r="L39" s="75">
        <v>12721</v>
      </c>
      <c r="M39" s="75">
        <v>106541</v>
      </c>
      <c r="N39" s="75">
        <v>31353</v>
      </c>
      <c r="O39" s="75">
        <v>36327</v>
      </c>
      <c r="P39" s="75">
        <v>40827</v>
      </c>
      <c r="Q39" s="75">
        <v>10227</v>
      </c>
      <c r="R39" s="75">
        <v>80284</v>
      </c>
      <c r="S39" s="75">
        <v>19417</v>
      </c>
      <c r="T39" s="75">
        <v>78539</v>
      </c>
      <c r="U39" s="75">
        <v>34180</v>
      </c>
      <c r="V39" s="75">
        <v>545153</v>
      </c>
      <c r="W39" s="75">
        <v>856408</v>
      </c>
    </row>
    <row r="40" spans="2:23">
      <c r="B40" s="75" t="s">
        <v>48</v>
      </c>
      <c r="C40" s="75">
        <v>107937</v>
      </c>
      <c r="D40" s="75">
        <v>81494</v>
      </c>
      <c r="E40" s="75">
        <v>187083</v>
      </c>
      <c r="F40" s="75">
        <v>136974</v>
      </c>
      <c r="G40" s="75">
        <v>262213</v>
      </c>
      <c r="H40" s="75">
        <v>6746</v>
      </c>
      <c r="I40" s="75">
        <v>241936</v>
      </c>
      <c r="J40" s="75">
        <v>3185</v>
      </c>
      <c r="K40" s="75">
        <v>497953</v>
      </c>
      <c r="L40" s="75">
        <v>9214</v>
      </c>
      <c r="M40" s="75">
        <v>149674</v>
      </c>
      <c r="N40" s="75">
        <v>36646</v>
      </c>
      <c r="O40" s="75">
        <v>44952</v>
      </c>
      <c r="P40" s="75">
        <v>30900</v>
      </c>
      <c r="Q40" s="75">
        <v>12460</v>
      </c>
      <c r="R40" s="75">
        <v>27898</v>
      </c>
      <c r="S40" s="75">
        <v>25205</v>
      </c>
      <c r="T40" s="75">
        <v>84269</v>
      </c>
      <c r="U40" s="75">
        <v>35530</v>
      </c>
      <c r="V40" s="75">
        <v>520103</v>
      </c>
      <c r="W40" s="75">
        <v>833170</v>
      </c>
    </row>
    <row r="41" spans="2:23">
      <c r="C41" s="75">
        <v>1008206</v>
      </c>
      <c r="D41" s="75">
        <v>1103928</v>
      </c>
      <c r="E41" s="75">
        <v>3087631</v>
      </c>
      <c r="F41" s="75">
        <v>1824124</v>
      </c>
      <c r="G41" s="75">
        <v>3386791</v>
      </c>
      <c r="H41" s="75">
        <v>121014</v>
      </c>
      <c r="I41" s="75">
        <v>2360397</v>
      </c>
      <c r="J41" s="75">
        <v>176581</v>
      </c>
      <c r="K41" s="75">
        <v>6761345</v>
      </c>
      <c r="L41" s="75">
        <v>240504</v>
      </c>
      <c r="M41" s="75">
        <v>1283202</v>
      </c>
      <c r="N41" s="75">
        <v>404291</v>
      </c>
      <c r="O41" s="75">
        <v>454634</v>
      </c>
      <c r="P41" s="75">
        <v>173024</v>
      </c>
      <c r="Q41" s="75">
        <v>339861</v>
      </c>
      <c r="R41" s="75">
        <v>377485</v>
      </c>
      <c r="S41" s="75">
        <v>350826</v>
      </c>
      <c r="T41" s="75">
        <v>1449787</v>
      </c>
      <c r="U41" s="75">
        <v>445659</v>
      </c>
      <c r="V41" s="75">
        <v>6298599</v>
      </c>
      <c r="W41" s="75">
        <v>11074971</v>
      </c>
    </row>
    <row r="44" spans="2:23">
      <c r="C44" s="19" t="s">
        <v>78</v>
      </c>
      <c r="D44" s="19" t="s">
        <v>70</v>
      </c>
      <c r="E44" s="19" t="s">
        <v>79</v>
      </c>
      <c r="F44" s="19" t="s">
        <v>71</v>
      </c>
      <c r="G44" s="19" t="s">
        <v>68</v>
      </c>
      <c r="H44" s="19" t="s">
        <v>82</v>
      </c>
      <c r="I44" s="19" t="s">
        <v>76</v>
      </c>
      <c r="J44" s="19" t="s">
        <v>86</v>
      </c>
      <c r="K44" s="19" t="s">
        <v>84</v>
      </c>
      <c r="L44" s="19" t="s">
        <v>72</v>
      </c>
      <c r="M44" s="19" t="s">
        <v>73</v>
      </c>
      <c r="N44" s="19" t="s">
        <v>74</v>
      </c>
      <c r="O44" s="19" t="s">
        <v>75</v>
      </c>
      <c r="P44" s="19" t="s">
        <v>77</v>
      </c>
      <c r="Q44" s="19" t="s">
        <v>88</v>
      </c>
      <c r="R44" s="19" t="s">
        <v>85</v>
      </c>
      <c r="S44" s="19" t="s">
        <v>87</v>
      </c>
      <c r="T44" s="19" t="s">
        <v>81</v>
      </c>
      <c r="U44" s="19" t="s">
        <v>69</v>
      </c>
      <c r="V44" s="19" t="s">
        <v>83</v>
      </c>
      <c r="W44" s="19" t="s">
        <v>80</v>
      </c>
    </row>
    <row r="45" spans="2:23">
      <c r="C45" s="19">
        <v>1008206</v>
      </c>
      <c r="D45" s="19">
        <v>1103928</v>
      </c>
      <c r="E45" s="19">
        <v>3087631</v>
      </c>
      <c r="F45" s="19">
        <v>1824124</v>
      </c>
      <c r="G45" s="19">
        <v>3386791</v>
      </c>
      <c r="H45" s="19">
        <v>121014</v>
      </c>
      <c r="I45" s="19">
        <v>2360397</v>
      </c>
      <c r="J45" s="19">
        <v>176581</v>
      </c>
      <c r="K45" s="19">
        <v>6761345</v>
      </c>
      <c r="L45" s="19">
        <v>240504</v>
      </c>
      <c r="M45" s="19">
        <v>1283202</v>
      </c>
      <c r="N45" s="19">
        <v>404291</v>
      </c>
      <c r="O45" s="19">
        <v>454634</v>
      </c>
      <c r="P45" s="19">
        <v>173024</v>
      </c>
      <c r="Q45" s="19">
        <v>339861</v>
      </c>
      <c r="R45" s="19">
        <v>377485</v>
      </c>
      <c r="S45" s="19">
        <v>350826</v>
      </c>
      <c r="T45" s="19">
        <v>1449787</v>
      </c>
      <c r="U45" s="19">
        <v>445659</v>
      </c>
      <c r="V45" s="19">
        <v>6298599</v>
      </c>
      <c r="W45" s="19">
        <v>11074971</v>
      </c>
    </row>
    <row r="47" spans="2:23">
      <c r="C47" s="19" t="s">
        <v>78</v>
      </c>
      <c r="D47" s="19">
        <v>1008206</v>
      </c>
    </row>
    <row r="48" spans="2:23">
      <c r="C48" s="19" t="s">
        <v>70</v>
      </c>
      <c r="D48" s="19">
        <v>1103928</v>
      </c>
    </row>
    <row r="49" spans="3:4">
      <c r="C49" s="19" t="s">
        <v>79</v>
      </c>
      <c r="D49" s="19">
        <v>3087631</v>
      </c>
    </row>
    <row r="50" spans="3:4">
      <c r="C50" s="19" t="s">
        <v>71</v>
      </c>
      <c r="D50" s="19">
        <v>1824124</v>
      </c>
    </row>
    <row r="51" spans="3:4">
      <c r="C51" s="19" t="s">
        <v>68</v>
      </c>
      <c r="D51" s="19">
        <v>3386791</v>
      </c>
    </row>
    <row r="52" spans="3:4">
      <c r="C52" s="19" t="s">
        <v>82</v>
      </c>
      <c r="D52" s="19">
        <v>121014</v>
      </c>
    </row>
    <row r="53" spans="3:4">
      <c r="C53" s="19" t="s">
        <v>76</v>
      </c>
      <c r="D53" s="19">
        <v>2360397</v>
      </c>
    </row>
    <row r="54" spans="3:4">
      <c r="C54" s="19" t="s">
        <v>86</v>
      </c>
      <c r="D54" s="19">
        <v>176581</v>
      </c>
    </row>
    <row r="55" spans="3:4">
      <c r="C55" s="19" t="s">
        <v>84</v>
      </c>
      <c r="D55" s="19">
        <v>6761345</v>
      </c>
    </row>
    <row r="56" spans="3:4">
      <c r="C56" s="19" t="s">
        <v>72</v>
      </c>
      <c r="D56" s="19">
        <v>240504</v>
      </c>
    </row>
    <row r="57" spans="3:4">
      <c r="C57" s="19" t="s">
        <v>73</v>
      </c>
      <c r="D57" s="19">
        <v>1283202</v>
      </c>
    </row>
    <row r="58" spans="3:4">
      <c r="C58" s="19" t="s">
        <v>74</v>
      </c>
      <c r="D58" s="19">
        <v>404291</v>
      </c>
    </row>
    <row r="59" spans="3:4">
      <c r="C59" s="19" t="s">
        <v>75</v>
      </c>
      <c r="D59" s="19">
        <v>454634</v>
      </c>
    </row>
    <row r="60" spans="3:4">
      <c r="C60" s="19" t="s">
        <v>77</v>
      </c>
      <c r="D60" s="19">
        <v>173024</v>
      </c>
    </row>
    <row r="61" spans="3:4">
      <c r="C61" s="19" t="s">
        <v>88</v>
      </c>
      <c r="D61" s="19">
        <v>339861</v>
      </c>
    </row>
    <row r="62" spans="3:4">
      <c r="C62" s="19" t="s">
        <v>85</v>
      </c>
      <c r="D62" s="19">
        <v>377485</v>
      </c>
    </row>
    <row r="63" spans="3:4">
      <c r="C63" s="19" t="s">
        <v>87</v>
      </c>
      <c r="D63" s="19">
        <v>350826</v>
      </c>
    </row>
    <row r="64" spans="3:4">
      <c r="C64" s="19" t="s">
        <v>81</v>
      </c>
      <c r="D64" s="19">
        <v>1449787</v>
      </c>
    </row>
    <row r="65" spans="3:4">
      <c r="C65" s="19" t="s">
        <v>69</v>
      </c>
      <c r="D65" s="19">
        <v>445659</v>
      </c>
    </row>
    <row r="66" spans="3:4">
      <c r="C66" s="19" t="s">
        <v>83</v>
      </c>
      <c r="D66" s="19">
        <v>6298599</v>
      </c>
    </row>
    <row r="67" spans="3:4">
      <c r="C67" s="19" t="s">
        <v>80</v>
      </c>
      <c r="D67" s="19">
        <v>11074971</v>
      </c>
    </row>
  </sheetData>
  <mergeCells count="2">
    <mergeCell ref="A1:Y1"/>
    <mergeCell ref="A16:Y16"/>
  </mergeCells>
  <printOptions horizontalCentered="1"/>
  <pageMargins left="0.39370078740157483" right="0.39370078740157483" top="0.98425196850393704" bottom="0.98425196850393704" header="0" footer="0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H47"/>
  <sheetViews>
    <sheetView rightToLeft="1" zoomScaleNormal="100" workbookViewId="0">
      <selection activeCell="A46" sqref="A1:E46"/>
    </sheetView>
  </sheetViews>
  <sheetFormatPr defaultColWidth="7" defaultRowHeight="15.75"/>
  <cols>
    <col min="1" max="1" width="16.25" style="19" customWidth="1"/>
    <col min="2" max="3" width="13.75" style="19" customWidth="1"/>
    <col min="4" max="5" width="11.875" style="19" customWidth="1"/>
    <col min="6" max="16384" width="7" style="19"/>
  </cols>
  <sheetData>
    <row r="1" spans="1:1">
      <c r="A1" s="265"/>
    </row>
    <row r="17" spans="1:5" ht="10.5" customHeight="1"/>
    <row r="18" spans="1:5" hidden="1"/>
    <row r="19" spans="1:5" ht="24.75" thickBot="1">
      <c r="A19" s="2936" t="s">
        <v>414</v>
      </c>
      <c r="B19" s="2936"/>
      <c r="C19" s="2936"/>
      <c r="D19" s="2936"/>
      <c r="E19" s="2936"/>
    </row>
    <row r="20" spans="1:5" ht="20.25" customHeight="1">
      <c r="A20" s="2971" t="s">
        <v>1</v>
      </c>
      <c r="B20" s="2973" t="s">
        <v>283</v>
      </c>
      <c r="C20" s="2825"/>
      <c r="D20" s="2974" t="s">
        <v>318</v>
      </c>
      <c r="E20" s="2976" t="s">
        <v>284</v>
      </c>
    </row>
    <row r="21" spans="1:5" ht="20.25" customHeight="1" thickBot="1">
      <c r="A21" s="2972"/>
      <c r="B21" s="7">
        <v>1401</v>
      </c>
      <c r="C21" s="7">
        <v>1402</v>
      </c>
      <c r="D21" s="2975"/>
      <c r="E21" s="2977"/>
    </row>
    <row r="22" spans="1:5" ht="16.5" customHeight="1">
      <c r="A22" s="92" t="s">
        <v>68</v>
      </c>
      <c r="B22" s="1984">
        <v>4117065</v>
      </c>
      <c r="C22" s="1985">
        <v>3386791</v>
      </c>
      <c r="D22" s="266">
        <f>C22-B22</f>
        <v>-730274</v>
      </c>
      <c r="E22" s="267">
        <f>D22/B22</f>
        <v>-0.17737733069553188</v>
      </c>
    </row>
    <row r="23" spans="1:5" ht="16.5" customHeight="1">
      <c r="A23" s="92" t="s">
        <v>69</v>
      </c>
      <c r="B23" s="1984">
        <v>317327</v>
      </c>
      <c r="C23" s="1985">
        <v>445659</v>
      </c>
      <c r="D23" s="266">
        <f>C23-B23</f>
        <v>128332</v>
      </c>
      <c r="E23" s="267">
        <f t="shared" ref="E23:E45" si="0">D23/B23</f>
        <v>0.40441563434564343</v>
      </c>
    </row>
    <row r="24" spans="1:5" ht="16.5" customHeight="1">
      <c r="A24" s="92" t="s">
        <v>70</v>
      </c>
      <c r="B24" s="1984">
        <v>1079383</v>
      </c>
      <c r="C24" s="1985">
        <v>1103928</v>
      </c>
      <c r="D24" s="266">
        <f t="shared" ref="D24:D45" si="1">C24-B24</f>
        <v>24545</v>
      </c>
      <c r="E24" s="267">
        <f t="shared" si="0"/>
        <v>2.2739843039958938E-2</v>
      </c>
    </row>
    <row r="25" spans="1:5" ht="16.5" customHeight="1">
      <c r="A25" s="92" t="s">
        <v>71</v>
      </c>
      <c r="B25" s="1984">
        <v>1810991</v>
      </c>
      <c r="C25" s="1985">
        <v>1824124</v>
      </c>
      <c r="D25" s="266">
        <f t="shared" si="1"/>
        <v>13133</v>
      </c>
      <c r="E25" s="267">
        <f t="shared" si="0"/>
        <v>7.2518306275403911E-3</v>
      </c>
    </row>
    <row r="26" spans="1:5" ht="16.5" customHeight="1">
      <c r="A26" s="92" t="s">
        <v>72</v>
      </c>
      <c r="B26" s="1984">
        <v>211238</v>
      </c>
      <c r="C26" s="1985">
        <v>240504</v>
      </c>
      <c r="D26" s="266">
        <f t="shared" si="1"/>
        <v>29266</v>
      </c>
      <c r="E26" s="267">
        <f t="shared" si="0"/>
        <v>0.1385451481267575</v>
      </c>
    </row>
    <row r="27" spans="1:5" ht="16.5" customHeight="1">
      <c r="A27" s="92" t="s">
        <v>73</v>
      </c>
      <c r="B27" s="1984">
        <v>1108936</v>
      </c>
      <c r="C27" s="1985">
        <v>1283202</v>
      </c>
      <c r="D27" s="266">
        <f t="shared" si="1"/>
        <v>174266</v>
      </c>
      <c r="E27" s="267">
        <f t="shared" si="0"/>
        <v>0.15714703102794031</v>
      </c>
    </row>
    <row r="28" spans="1:5" ht="16.5" customHeight="1">
      <c r="A28" s="92" t="s">
        <v>74</v>
      </c>
      <c r="B28" s="1984">
        <v>349978</v>
      </c>
      <c r="C28" s="1985">
        <v>404291</v>
      </c>
      <c r="D28" s="266">
        <f t="shared" si="1"/>
        <v>54313</v>
      </c>
      <c r="E28" s="267">
        <f t="shared" si="0"/>
        <v>0.15518975478458646</v>
      </c>
    </row>
    <row r="29" spans="1:5" ht="16.5" customHeight="1">
      <c r="A29" s="92" t="s">
        <v>75</v>
      </c>
      <c r="B29" s="1984">
        <v>398307</v>
      </c>
      <c r="C29" s="1985">
        <v>454634</v>
      </c>
      <c r="D29" s="266">
        <f>C29-B29</f>
        <v>56327</v>
      </c>
      <c r="E29" s="267">
        <f>D29/B29</f>
        <v>0.1414160434037062</v>
      </c>
    </row>
    <row r="30" spans="1:5" ht="16.5" customHeight="1">
      <c r="A30" s="92" t="s">
        <v>76</v>
      </c>
      <c r="B30" s="1984">
        <v>1992466</v>
      </c>
      <c r="C30" s="1985">
        <v>2360397</v>
      </c>
      <c r="D30" s="266">
        <f t="shared" si="1"/>
        <v>367931</v>
      </c>
      <c r="E30" s="267">
        <f t="shared" si="0"/>
        <v>0.18466111843313762</v>
      </c>
    </row>
    <row r="31" spans="1:5" ht="16.5" customHeight="1">
      <c r="A31" s="92" t="s">
        <v>77</v>
      </c>
      <c r="B31" s="1984">
        <v>357143</v>
      </c>
      <c r="C31" s="1985">
        <v>173024</v>
      </c>
      <c r="D31" s="266">
        <f t="shared" si="1"/>
        <v>-184119</v>
      </c>
      <c r="E31" s="267">
        <f t="shared" si="0"/>
        <v>-0.51553299378680251</v>
      </c>
    </row>
    <row r="32" spans="1:5" ht="16.5" customHeight="1">
      <c r="A32" s="92" t="s">
        <v>78</v>
      </c>
      <c r="B32" s="1984">
        <v>1396213</v>
      </c>
      <c r="C32" s="1985">
        <v>1008206</v>
      </c>
      <c r="D32" s="266">
        <f t="shared" si="1"/>
        <v>-388007</v>
      </c>
      <c r="E32" s="267">
        <f t="shared" si="0"/>
        <v>-0.27789957549456995</v>
      </c>
    </row>
    <row r="33" spans="1:8" ht="16.5" customHeight="1">
      <c r="A33" s="92" t="s">
        <v>79</v>
      </c>
      <c r="B33" s="1984">
        <v>3806533</v>
      </c>
      <c r="C33" s="1985">
        <v>3087631</v>
      </c>
      <c r="D33" s="266">
        <f t="shared" si="1"/>
        <v>-718902</v>
      </c>
      <c r="E33" s="267">
        <f t="shared" si="0"/>
        <v>-0.18886004666188366</v>
      </c>
    </row>
    <row r="34" spans="1:8" ht="16.5" customHeight="1">
      <c r="A34" s="92" t="s">
        <v>80</v>
      </c>
      <c r="B34" s="1984">
        <v>12390354</v>
      </c>
      <c r="C34" s="1985">
        <v>11074971</v>
      </c>
      <c r="D34" s="266">
        <f t="shared" si="1"/>
        <v>-1315383</v>
      </c>
      <c r="E34" s="267">
        <f t="shared" si="0"/>
        <v>-0.10616185784522379</v>
      </c>
    </row>
    <row r="35" spans="1:8" ht="16.5" customHeight="1">
      <c r="A35" s="92" t="s">
        <v>81</v>
      </c>
      <c r="B35" s="1984">
        <v>1311435</v>
      </c>
      <c r="C35" s="1985">
        <v>1449787</v>
      </c>
      <c r="D35" s="266">
        <f t="shared" si="1"/>
        <v>138352</v>
      </c>
      <c r="E35" s="267">
        <f t="shared" si="0"/>
        <v>0.1054966506155471</v>
      </c>
    </row>
    <row r="36" spans="1:8" ht="16.5" customHeight="1">
      <c r="A36" s="92" t="s">
        <v>82</v>
      </c>
      <c r="B36" s="1984">
        <v>149667</v>
      </c>
      <c r="C36" s="1985">
        <v>121014</v>
      </c>
      <c r="D36" s="266">
        <f t="shared" si="1"/>
        <v>-28653</v>
      </c>
      <c r="E36" s="267">
        <f t="shared" si="0"/>
        <v>-0.19144500791757701</v>
      </c>
    </row>
    <row r="37" spans="1:8" ht="16.5" customHeight="1">
      <c r="A37" s="92" t="s">
        <v>83</v>
      </c>
      <c r="B37" s="1984">
        <v>6786498</v>
      </c>
      <c r="C37" s="1985">
        <v>6298599</v>
      </c>
      <c r="D37" s="266">
        <f t="shared" si="1"/>
        <v>-487899</v>
      </c>
      <c r="E37" s="267">
        <f t="shared" si="0"/>
        <v>-7.1892602046003701E-2</v>
      </c>
    </row>
    <row r="38" spans="1:8" ht="16.5" customHeight="1">
      <c r="A38" s="92" t="s">
        <v>87</v>
      </c>
      <c r="B38" s="1984">
        <v>227314</v>
      </c>
      <c r="C38" s="1985">
        <v>350826</v>
      </c>
      <c r="D38" s="266">
        <f>C38-B38</f>
        <v>123512</v>
      </c>
      <c r="E38" s="267">
        <f>D38/B38</f>
        <v>0.54335412689055662</v>
      </c>
    </row>
    <row r="39" spans="1:8" ht="15" customHeight="1">
      <c r="A39" s="92" t="s">
        <v>86</v>
      </c>
      <c r="B39" s="1984">
        <v>136530</v>
      </c>
      <c r="C39" s="1985">
        <v>176581</v>
      </c>
      <c r="D39" s="266">
        <f>C39-B39</f>
        <v>40051</v>
      </c>
      <c r="E39" s="267">
        <f>D39/B39</f>
        <v>0.2933494470079836</v>
      </c>
    </row>
    <row r="40" spans="1:8" ht="19.5" customHeight="1">
      <c r="A40" s="92" t="s">
        <v>84</v>
      </c>
      <c r="B40" s="1986">
        <v>5657333</v>
      </c>
      <c r="C40" s="1985">
        <v>6761345</v>
      </c>
      <c r="D40" s="266">
        <f t="shared" si="1"/>
        <v>1104012</v>
      </c>
      <c r="E40" s="267">
        <f t="shared" si="0"/>
        <v>0.19514707725353977</v>
      </c>
    </row>
    <row r="41" spans="1:8" ht="14.25" customHeight="1">
      <c r="A41" s="92" t="s">
        <v>85</v>
      </c>
      <c r="B41" s="1984">
        <v>306289</v>
      </c>
      <c r="C41" s="1985">
        <v>377485</v>
      </c>
      <c r="D41" s="266">
        <f>C41-B41</f>
        <v>71196</v>
      </c>
      <c r="E41" s="267">
        <f>D41/B41</f>
        <v>0.23244713326302935</v>
      </c>
    </row>
    <row r="42" spans="1:8" ht="19.5" customHeight="1">
      <c r="A42" s="92" t="s">
        <v>88</v>
      </c>
      <c r="B42" s="1984">
        <v>260998</v>
      </c>
      <c r="C42" s="1985">
        <v>339861</v>
      </c>
      <c r="D42" s="266">
        <f>C42-B42</f>
        <v>78863</v>
      </c>
      <c r="E42" s="267">
        <f>D42/B42</f>
        <v>0.30215940352033349</v>
      </c>
    </row>
    <row r="43" spans="1:8" ht="21">
      <c r="A43" s="92" t="s">
        <v>404</v>
      </c>
      <c r="B43" s="1986">
        <v>119240</v>
      </c>
      <c r="C43" s="1985">
        <v>119500</v>
      </c>
      <c r="D43" s="266">
        <f t="shared" ref="D43:D44" si="2">C43-B43</f>
        <v>260</v>
      </c>
      <c r="E43" s="267">
        <f t="shared" ref="E43:E44" si="3">D43/B43</f>
        <v>2.1804763502180475E-3</v>
      </c>
    </row>
    <row r="44" spans="1:8" ht="21.75" thickBot="1">
      <c r="A44" s="92" t="s">
        <v>90</v>
      </c>
      <c r="B44" s="1987">
        <v>147625</v>
      </c>
      <c r="C44" s="1985">
        <v>134825</v>
      </c>
      <c r="D44" s="266">
        <f t="shared" si="2"/>
        <v>-12800</v>
      </c>
      <c r="E44" s="267">
        <f t="shared" si="3"/>
        <v>-8.6706181202370877E-2</v>
      </c>
      <c r="H44" s="75"/>
    </row>
    <row r="45" spans="1:8" ht="19.5" thickBot="1">
      <c r="A45" s="85" t="s">
        <v>49</v>
      </c>
      <c r="B45" s="268">
        <v>44438863</v>
      </c>
      <c r="C45" s="268">
        <f>SUM(C22:C44)</f>
        <v>42977185</v>
      </c>
      <c r="D45" s="269">
        <f t="shared" si="1"/>
        <v>-1461678</v>
      </c>
      <c r="E45" s="270">
        <f t="shared" si="0"/>
        <v>-3.289188564522904E-2</v>
      </c>
    </row>
    <row r="46" spans="1:8">
      <c r="A46" s="2959" t="s">
        <v>415</v>
      </c>
      <c r="B46" s="2959"/>
      <c r="C46" s="2959"/>
      <c r="D46" s="2959"/>
      <c r="E46" s="2959"/>
    </row>
    <row r="47" spans="1:8">
      <c r="A47" s="260"/>
    </row>
  </sheetData>
  <mergeCells count="6">
    <mergeCell ref="A46:E46"/>
    <mergeCell ref="A19:E19"/>
    <mergeCell ref="A20:A21"/>
    <mergeCell ref="B20:C20"/>
    <mergeCell ref="D20:D21"/>
    <mergeCell ref="E20:E2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0" firstPageNumber="4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W31"/>
  <sheetViews>
    <sheetView rightToLeft="1" topLeftCell="A14" workbookViewId="0">
      <selection activeCell="H1" sqref="H1:N28"/>
    </sheetView>
  </sheetViews>
  <sheetFormatPr defaultColWidth="15.375" defaultRowHeight="22.5"/>
  <cols>
    <col min="1" max="1" width="19.25" style="271" customWidth="1"/>
    <col min="2" max="2" width="11" style="271" customWidth="1"/>
    <col min="3" max="3" width="10.875" style="271" customWidth="1"/>
    <col min="4" max="4" width="11.125" style="271" customWidth="1"/>
    <col min="5" max="5" width="11" style="271" customWidth="1"/>
    <col min="6" max="6" width="10.875" style="271" customWidth="1"/>
    <col min="7" max="8" width="11.375" style="271" customWidth="1"/>
    <col min="9" max="9" width="11.125" style="271" customWidth="1"/>
    <col min="10" max="10" width="11.375" style="271" customWidth="1"/>
    <col min="11" max="11" width="10.875" style="271" customWidth="1"/>
    <col min="12" max="13" width="11.375" style="271" customWidth="1"/>
    <col min="14" max="14" width="13.25" style="271" customWidth="1"/>
    <col min="15" max="16384" width="15.375" style="271"/>
  </cols>
  <sheetData>
    <row r="1" spans="1:23" ht="24" customHeight="1" thickBot="1">
      <c r="A1" s="2979" t="s">
        <v>2029</v>
      </c>
      <c r="B1" s="2979"/>
      <c r="C1" s="2979"/>
      <c r="D1" s="2979"/>
      <c r="E1" s="2979"/>
      <c r="F1" s="2979"/>
      <c r="G1" s="2979"/>
      <c r="H1" s="2980" t="s">
        <v>2030</v>
      </c>
      <c r="I1" s="2980"/>
      <c r="J1" s="2980"/>
      <c r="K1" s="2980"/>
      <c r="L1" s="2980"/>
      <c r="M1" s="2980"/>
      <c r="N1" s="2980"/>
    </row>
    <row r="2" spans="1:23" ht="24" customHeight="1" thickBot="1">
      <c r="A2" s="1988" t="s">
        <v>1</v>
      </c>
      <c r="B2" s="1989" t="s">
        <v>416</v>
      </c>
      <c r="C2" s="1990" t="s">
        <v>38</v>
      </c>
      <c r="D2" s="1990" t="s">
        <v>39</v>
      </c>
      <c r="E2" s="1990" t="s">
        <v>40</v>
      </c>
      <c r="F2" s="1990" t="s">
        <v>41</v>
      </c>
      <c r="G2" s="1991" t="s">
        <v>42</v>
      </c>
      <c r="H2" s="1991" t="s">
        <v>43</v>
      </c>
      <c r="I2" s="1990" t="s">
        <v>405</v>
      </c>
      <c r="J2" s="1990" t="s">
        <v>45</v>
      </c>
      <c r="K2" s="1990" t="s">
        <v>406</v>
      </c>
      <c r="L2" s="1990" t="s">
        <v>47</v>
      </c>
      <c r="M2" s="1990" t="s">
        <v>48</v>
      </c>
      <c r="N2" s="1992" t="s">
        <v>49</v>
      </c>
    </row>
    <row r="3" spans="1:23" ht="24" customHeight="1" thickBot="1">
      <c r="A3" s="1993" t="s">
        <v>417</v>
      </c>
      <c r="B3" s="1994">
        <v>425519</v>
      </c>
      <c r="C3" s="1995">
        <v>406194</v>
      </c>
      <c r="D3" s="1995">
        <v>382406</v>
      </c>
      <c r="E3" s="1995">
        <v>310066</v>
      </c>
      <c r="F3" s="1995">
        <v>312422</v>
      </c>
      <c r="G3" s="1996">
        <v>367660</v>
      </c>
      <c r="H3" s="1996">
        <v>366609</v>
      </c>
      <c r="I3" s="1995">
        <v>340904</v>
      </c>
      <c r="J3" s="1995">
        <v>312892</v>
      </c>
      <c r="K3" s="1995">
        <v>275906</v>
      </c>
      <c r="L3" s="1995">
        <v>291311</v>
      </c>
      <c r="M3" s="1995">
        <v>271078</v>
      </c>
      <c r="N3" s="1997">
        <f>SUM(B3:M3)</f>
        <v>4062967</v>
      </c>
      <c r="R3" s="272" t="s">
        <v>418</v>
      </c>
      <c r="S3" s="273">
        <v>3521</v>
      </c>
      <c r="T3" s="273">
        <v>3133</v>
      </c>
      <c r="U3" s="273">
        <v>3725</v>
      </c>
      <c r="V3" s="273">
        <v>3994</v>
      </c>
      <c r="W3" s="274">
        <v>4540</v>
      </c>
    </row>
    <row r="4" spans="1:23" ht="24" customHeight="1">
      <c r="A4" s="1998" t="s">
        <v>419</v>
      </c>
      <c r="B4" s="1999">
        <v>103258</v>
      </c>
      <c r="C4" s="2000">
        <v>120991</v>
      </c>
      <c r="D4" s="2000">
        <v>110802</v>
      </c>
      <c r="E4" s="2000">
        <v>114644</v>
      </c>
      <c r="F4" s="2000">
        <v>130219</v>
      </c>
      <c r="G4" s="2001">
        <v>125325</v>
      </c>
      <c r="H4" s="2001">
        <v>70923</v>
      </c>
      <c r="I4" s="2000">
        <v>88790</v>
      </c>
      <c r="J4" s="2000">
        <v>80169</v>
      </c>
      <c r="K4" s="2000">
        <v>77948</v>
      </c>
      <c r="L4" s="2000">
        <v>81363</v>
      </c>
      <c r="M4" s="2000">
        <v>74571</v>
      </c>
      <c r="N4" s="2002">
        <f t="shared" ref="N4:N21" si="0">SUM(B4:M4)</f>
        <v>1179003</v>
      </c>
      <c r="R4" s="272" t="s">
        <v>420</v>
      </c>
      <c r="S4" s="275">
        <v>28305</v>
      </c>
      <c r="T4" s="275">
        <v>33055</v>
      </c>
      <c r="U4" s="275">
        <v>36315</v>
      </c>
      <c r="V4" s="275">
        <v>33579</v>
      </c>
      <c r="W4" s="276">
        <v>33652</v>
      </c>
    </row>
    <row r="5" spans="1:23" ht="24" customHeight="1" thickBot="1">
      <c r="A5" s="1998" t="s">
        <v>421</v>
      </c>
      <c r="B5" s="2003">
        <v>2108664</v>
      </c>
      <c r="C5" s="2004">
        <v>2034133</v>
      </c>
      <c r="D5" s="2004">
        <v>2078483</v>
      </c>
      <c r="E5" s="2004">
        <v>1757672</v>
      </c>
      <c r="F5" s="2004">
        <v>1727398</v>
      </c>
      <c r="G5" s="2005">
        <v>1997260</v>
      </c>
      <c r="H5" s="2005">
        <v>1991778</v>
      </c>
      <c r="I5" s="2004">
        <v>2021909</v>
      </c>
      <c r="J5" s="2004">
        <v>1847128</v>
      </c>
      <c r="K5" s="2004">
        <v>1911514</v>
      </c>
      <c r="L5" s="2004">
        <v>1923575</v>
      </c>
      <c r="M5" s="2004">
        <v>1762086</v>
      </c>
      <c r="N5" s="2006">
        <f t="shared" si="0"/>
        <v>23161600</v>
      </c>
      <c r="R5" s="272" t="s">
        <v>422</v>
      </c>
      <c r="S5" s="275">
        <v>1368</v>
      </c>
      <c r="T5" s="275">
        <v>1630</v>
      </c>
      <c r="U5" s="275">
        <v>1587</v>
      </c>
      <c r="V5" s="275">
        <v>1614</v>
      </c>
      <c r="W5" s="276">
        <v>1964</v>
      </c>
    </row>
    <row r="6" spans="1:23" ht="24" customHeight="1" thickBot="1">
      <c r="A6" s="1993" t="s">
        <v>423</v>
      </c>
      <c r="B6" s="1994">
        <f>SUM(B4:B5)</f>
        <v>2211922</v>
      </c>
      <c r="C6" s="1995">
        <f t="shared" ref="C6:M6" si="1">SUM(C4:C5)</f>
        <v>2155124</v>
      </c>
      <c r="D6" s="1996">
        <f t="shared" si="1"/>
        <v>2189285</v>
      </c>
      <c r="E6" s="1996">
        <f t="shared" si="1"/>
        <v>1872316</v>
      </c>
      <c r="F6" s="1996">
        <f t="shared" si="1"/>
        <v>1857617</v>
      </c>
      <c r="G6" s="1996">
        <f t="shared" si="1"/>
        <v>2122585</v>
      </c>
      <c r="H6" s="1996">
        <f t="shared" si="1"/>
        <v>2062701</v>
      </c>
      <c r="I6" s="1996">
        <f t="shared" si="1"/>
        <v>2110699</v>
      </c>
      <c r="J6" s="1996">
        <f t="shared" si="1"/>
        <v>1927297</v>
      </c>
      <c r="K6" s="1995">
        <f t="shared" si="1"/>
        <v>1989462</v>
      </c>
      <c r="L6" s="1996">
        <f t="shared" si="1"/>
        <v>2004938</v>
      </c>
      <c r="M6" s="1995">
        <f t="shared" si="1"/>
        <v>1836657</v>
      </c>
      <c r="N6" s="1997">
        <f t="shared" si="0"/>
        <v>24340603</v>
      </c>
      <c r="R6" s="272" t="s">
        <v>424</v>
      </c>
      <c r="S6" s="275">
        <v>888</v>
      </c>
      <c r="T6" s="275">
        <v>907.24099999999999</v>
      </c>
      <c r="U6" s="275">
        <v>989</v>
      </c>
      <c r="V6" s="275">
        <v>875</v>
      </c>
      <c r="W6" s="276">
        <v>1022</v>
      </c>
    </row>
    <row r="7" spans="1:23" ht="24" customHeight="1" thickBot="1">
      <c r="A7" s="1993" t="s">
        <v>425</v>
      </c>
      <c r="B7" s="1994">
        <v>107460</v>
      </c>
      <c r="C7" s="1995">
        <v>110830</v>
      </c>
      <c r="D7" s="1996">
        <v>141384</v>
      </c>
      <c r="E7" s="1995">
        <v>118821</v>
      </c>
      <c r="F7" s="1996">
        <v>93013</v>
      </c>
      <c r="G7" s="1996">
        <v>67545</v>
      </c>
      <c r="H7" s="1996">
        <v>148856</v>
      </c>
      <c r="I7" s="1995">
        <v>141154</v>
      </c>
      <c r="J7" s="1996">
        <v>67533</v>
      </c>
      <c r="K7" s="1995">
        <v>88380</v>
      </c>
      <c r="L7" s="1996">
        <v>102451</v>
      </c>
      <c r="M7" s="1995">
        <v>109873</v>
      </c>
      <c r="N7" s="1997">
        <f>SUM(B7:M7)</f>
        <v>1297300</v>
      </c>
      <c r="P7" s="277">
        <f>+N7+N8+N6</f>
        <v>27238928</v>
      </c>
      <c r="R7" s="272" t="s">
        <v>426</v>
      </c>
      <c r="S7" s="275">
        <v>3266</v>
      </c>
      <c r="T7" s="275">
        <v>3976</v>
      </c>
      <c r="U7" s="275">
        <v>4138</v>
      </c>
      <c r="V7" s="275">
        <v>4129</v>
      </c>
      <c r="W7" s="276">
        <v>4277</v>
      </c>
    </row>
    <row r="8" spans="1:23" ht="24" customHeight="1" thickBot="1">
      <c r="A8" s="2007" t="s">
        <v>427</v>
      </c>
      <c r="B8" s="2008">
        <v>137470</v>
      </c>
      <c r="C8" s="2000">
        <v>134705</v>
      </c>
      <c r="D8" s="2000">
        <v>132313</v>
      </c>
      <c r="E8" s="2000">
        <v>151344</v>
      </c>
      <c r="F8" s="2000">
        <v>161729</v>
      </c>
      <c r="G8" s="2001">
        <v>157706</v>
      </c>
      <c r="H8" s="2001">
        <v>131383</v>
      </c>
      <c r="I8" s="2000">
        <v>165086</v>
      </c>
      <c r="J8" s="2000">
        <v>105233</v>
      </c>
      <c r="K8" s="2000">
        <v>106507</v>
      </c>
      <c r="L8" s="2000">
        <v>85097</v>
      </c>
      <c r="M8" s="2000">
        <v>132452</v>
      </c>
      <c r="N8" s="2002">
        <f>SUM(B8:M8)</f>
        <v>1601025</v>
      </c>
      <c r="R8" s="272" t="s">
        <v>428</v>
      </c>
      <c r="S8" s="275">
        <v>2685</v>
      </c>
      <c r="T8" s="275">
        <v>3900</v>
      </c>
      <c r="U8" s="275">
        <v>3566</v>
      </c>
      <c r="V8" s="275">
        <v>2550</v>
      </c>
      <c r="W8" s="276">
        <v>4901</v>
      </c>
    </row>
    <row r="9" spans="1:23" ht="24" customHeight="1" thickBot="1">
      <c r="A9" s="2007" t="s">
        <v>429</v>
      </c>
      <c r="B9" s="1999">
        <v>132103</v>
      </c>
      <c r="C9" s="2000">
        <v>149856</v>
      </c>
      <c r="D9" s="2001">
        <v>179254</v>
      </c>
      <c r="E9" s="2000">
        <v>198863</v>
      </c>
      <c r="F9" s="2001">
        <v>183137</v>
      </c>
      <c r="G9" s="2001">
        <v>135663</v>
      </c>
      <c r="H9" s="2001">
        <v>131235</v>
      </c>
      <c r="I9" s="2000">
        <v>90075</v>
      </c>
      <c r="J9" s="2001">
        <v>118662</v>
      </c>
      <c r="K9" s="2000">
        <v>40429</v>
      </c>
      <c r="L9" s="2001">
        <v>119256</v>
      </c>
      <c r="M9" s="2000">
        <v>158787</v>
      </c>
      <c r="N9" s="2002">
        <f t="shared" si="0"/>
        <v>1637320</v>
      </c>
      <c r="Q9" s="278" t="s">
        <v>430</v>
      </c>
      <c r="R9" s="279" t="s">
        <v>431</v>
      </c>
      <c r="S9" s="280">
        <v>249</v>
      </c>
      <c r="T9" s="280">
        <v>165</v>
      </c>
      <c r="U9" s="280">
        <v>158</v>
      </c>
      <c r="V9" s="280">
        <v>235</v>
      </c>
      <c r="W9" s="281">
        <v>208</v>
      </c>
    </row>
    <row r="10" spans="1:23" ht="24" customHeight="1" thickBot="1">
      <c r="A10" s="1998" t="s">
        <v>432</v>
      </c>
      <c r="B10" s="2003">
        <v>17193</v>
      </c>
      <c r="C10" s="2004">
        <v>18733</v>
      </c>
      <c r="D10" s="2005">
        <v>24756</v>
      </c>
      <c r="E10" s="2004">
        <v>19481</v>
      </c>
      <c r="F10" s="2005">
        <v>19205</v>
      </c>
      <c r="G10" s="2005">
        <v>22648</v>
      </c>
      <c r="H10" s="2005">
        <v>18918</v>
      </c>
      <c r="I10" s="2004">
        <v>28630</v>
      </c>
      <c r="J10" s="2005">
        <v>34327</v>
      </c>
      <c r="K10" s="2004">
        <v>35563</v>
      </c>
      <c r="L10" s="2005">
        <v>27669</v>
      </c>
      <c r="M10" s="2004">
        <v>32061</v>
      </c>
      <c r="N10" s="2006">
        <f t="shared" si="0"/>
        <v>299184</v>
      </c>
      <c r="Q10" s="278" t="s">
        <v>430</v>
      </c>
    </row>
    <row r="11" spans="1:23" ht="24" customHeight="1" thickBot="1">
      <c r="A11" s="1993" t="s">
        <v>49</v>
      </c>
      <c r="B11" s="1994">
        <f t="shared" ref="B11:M11" si="2">SUM(B9:B10)</f>
        <v>149296</v>
      </c>
      <c r="C11" s="1995">
        <f t="shared" si="2"/>
        <v>168589</v>
      </c>
      <c r="D11" s="1996">
        <f t="shared" si="2"/>
        <v>204010</v>
      </c>
      <c r="E11" s="1995">
        <f t="shared" si="2"/>
        <v>218344</v>
      </c>
      <c r="F11" s="1996">
        <f t="shared" si="2"/>
        <v>202342</v>
      </c>
      <c r="G11" s="1996">
        <f t="shared" si="2"/>
        <v>158311</v>
      </c>
      <c r="H11" s="1996">
        <f t="shared" si="2"/>
        <v>150153</v>
      </c>
      <c r="I11" s="1995">
        <f t="shared" si="2"/>
        <v>118705</v>
      </c>
      <c r="J11" s="1996">
        <f t="shared" si="2"/>
        <v>152989</v>
      </c>
      <c r="K11" s="1995">
        <f t="shared" si="2"/>
        <v>75992</v>
      </c>
      <c r="L11" s="1996">
        <f t="shared" si="2"/>
        <v>146925</v>
      </c>
      <c r="M11" s="1995">
        <f t="shared" si="2"/>
        <v>190848</v>
      </c>
      <c r="N11" s="1997">
        <f>SUM(B11:M11)</f>
        <v>1936504</v>
      </c>
    </row>
    <row r="12" spans="1:23" ht="24" customHeight="1" thickBot="1">
      <c r="A12" s="1993" t="s">
        <v>433</v>
      </c>
      <c r="B12" s="1994">
        <v>69687</v>
      </c>
      <c r="C12" s="1995">
        <v>53872</v>
      </c>
      <c r="D12" s="1996">
        <v>54624</v>
      </c>
      <c r="E12" s="1995">
        <v>42327</v>
      </c>
      <c r="F12" s="1995">
        <v>30205</v>
      </c>
      <c r="G12" s="1996">
        <v>53856</v>
      </c>
      <c r="H12" s="1996">
        <v>75721</v>
      </c>
      <c r="I12" s="1995">
        <v>86657</v>
      </c>
      <c r="J12" s="1996">
        <v>93581</v>
      </c>
      <c r="K12" s="1995">
        <v>77303</v>
      </c>
      <c r="L12" s="1996">
        <v>75883</v>
      </c>
      <c r="M12" s="1995">
        <v>62446</v>
      </c>
      <c r="N12" s="1997">
        <f t="shared" si="0"/>
        <v>776162</v>
      </c>
    </row>
    <row r="13" spans="1:23" ht="24" customHeight="1">
      <c r="A13" s="1998" t="s">
        <v>434</v>
      </c>
      <c r="B13" s="2003">
        <v>384543</v>
      </c>
      <c r="C13" s="2004">
        <v>332707</v>
      </c>
      <c r="D13" s="2005">
        <v>295166</v>
      </c>
      <c r="E13" s="2004">
        <v>196771</v>
      </c>
      <c r="F13" s="2005">
        <v>184834</v>
      </c>
      <c r="G13" s="2005">
        <v>208802</v>
      </c>
      <c r="H13" s="2005">
        <v>283582</v>
      </c>
      <c r="I13" s="2004">
        <v>233981</v>
      </c>
      <c r="J13" s="2005">
        <v>257869</v>
      </c>
      <c r="K13" s="2004">
        <v>256892</v>
      </c>
      <c r="L13" s="2005">
        <v>278088</v>
      </c>
      <c r="M13" s="2004">
        <v>246117</v>
      </c>
      <c r="N13" s="2006">
        <f>SUM(B13:M13)</f>
        <v>3159352</v>
      </c>
    </row>
    <row r="14" spans="1:23" ht="24" customHeight="1" thickBot="1">
      <c r="A14" s="2009" t="s">
        <v>435</v>
      </c>
      <c r="B14" s="2003">
        <v>12532</v>
      </c>
      <c r="C14" s="2004">
        <v>11211</v>
      </c>
      <c r="D14" s="2005">
        <v>5412</v>
      </c>
      <c r="E14" s="2004">
        <v>13338</v>
      </c>
      <c r="F14" s="2005">
        <v>5128</v>
      </c>
      <c r="G14" s="2005">
        <v>11535</v>
      </c>
      <c r="H14" s="2005">
        <v>11427</v>
      </c>
      <c r="I14" s="2004">
        <v>10265</v>
      </c>
      <c r="J14" s="2005">
        <v>6987</v>
      </c>
      <c r="K14" s="2004">
        <v>12417</v>
      </c>
      <c r="L14" s="2005">
        <v>9380</v>
      </c>
      <c r="M14" s="2004">
        <v>12913</v>
      </c>
      <c r="N14" s="2006">
        <f t="shared" si="0"/>
        <v>122545</v>
      </c>
    </row>
    <row r="15" spans="1:23" ht="24" customHeight="1" thickBot="1">
      <c r="A15" s="1993" t="s">
        <v>49</v>
      </c>
      <c r="B15" s="1994">
        <f>SUM(B13:B14)</f>
        <v>397075</v>
      </c>
      <c r="C15" s="1995">
        <f t="shared" ref="C15:M15" si="3">SUM(C13:C14)</f>
        <v>343918</v>
      </c>
      <c r="D15" s="1996">
        <f t="shared" si="3"/>
        <v>300578</v>
      </c>
      <c r="E15" s="1995">
        <f t="shared" si="3"/>
        <v>210109</v>
      </c>
      <c r="F15" s="1996">
        <f t="shared" si="3"/>
        <v>189962</v>
      </c>
      <c r="G15" s="1996">
        <f t="shared" si="3"/>
        <v>220337</v>
      </c>
      <c r="H15" s="1996">
        <f t="shared" si="3"/>
        <v>295009</v>
      </c>
      <c r="I15" s="1995">
        <f t="shared" si="3"/>
        <v>244246</v>
      </c>
      <c r="J15" s="1995">
        <f t="shared" si="3"/>
        <v>264856</v>
      </c>
      <c r="K15" s="1995">
        <f t="shared" si="3"/>
        <v>269309</v>
      </c>
      <c r="L15" s="1996">
        <f t="shared" si="3"/>
        <v>287468</v>
      </c>
      <c r="M15" s="1995">
        <f t="shared" si="3"/>
        <v>259030</v>
      </c>
      <c r="N15" s="1997">
        <f>SUM(B15:M15)</f>
        <v>3281897</v>
      </c>
    </row>
    <row r="16" spans="1:23" ht="24" customHeight="1">
      <c r="A16" s="1998" t="s">
        <v>436</v>
      </c>
      <c r="B16" s="2003">
        <v>24479</v>
      </c>
      <c r="C16" s="2004">
        <v>27256</v>
      </c>
      <c r="D16" s="2005">
        <v>32412</v>
      </c>
      <c r="E16" s="2004">
        <v>27282</v>
      </c>
      <c r="F16" s="2005">
        <v>23534</v>
      </c>
      <c r="G16" s="2005">
        <v>23246</v>
      </c>
      <c r="H16" s="2005">
        <v>31509</v>
      </c>
      <c r="I16" s="2004">
        <v>23630</v>
      </c>
      <c r="J16" s="2004">
        <v>19100</v>
      </c>
      <c r="K16" s="2004">
        <v>26860</v>
      </c>
      <c r="L16" s="2005">
        <v>31970</v>
      </c>
      <c r="M16" s="2004">
        <v>30027</v>
      </c>
      <c r="N16" s="2006">
        <f t="shared" si="0"/>
        <v>321305</v>
      </c>
    </row>
    <row r="17" spans="1:19" ht="24" customHeight="1">
      <c r="A17" s="1998" t="s">
        <v>437</v>
      </c>
      <c r="B17" s="2003">
        <v>8113</v>
      </c>
      <c r="C17" s="2004">
        <v>12524</v>
      </c>
      <c r="D17" s="2005">
        <v>8919</v>
      </c>
      <c r="E17" s="2004">
        <v>8334</v>
      </c>
      <c r="F17" s="2005">
        <v>4915</v>
      </c>
      <c r="G17" s="2005">
        <v>8491</v>
      </c>
      <c r="H17" s="2005">
        <v>7080</v>
      </c>
      <c r="I17" s="2004">
        <v>9391</v>
      </c>
      <c r="J17" s="2005">
        <v>5356</v>
      </c>
      <c r="K17" s="2004">
        <v>6725</v>
      </c>
      <c r="L17" s="2005">
        <v>9988</v>
      </c>
      <c r="M17" s="2004">
        <v>6224</v>
      </c>
      <c r="N17" s="2006">
        <f t="shared" si="0"/>
        <v>96060</v>
      </c>
    </row>
    <row r="18" spans="1:19" ht="24" customHeight="1">
      <c r="A18" s="1998" t="s">
        <v>438</v>
      </c>
      <c r="B18" s="2003">
        <v>550</v>
      </c>
      <c r="C18" s="2004">
        <v>6490</v>
      </c>
      <c r="D18" s="2005">
        <v>495</v>
      </c>
      <c r="E18" s="2004">
        <v>0</v>
      </c>
      <c r="F18" s="2005">
        <v>0</v>
      </c>
      <c r="G18" s="2005">
        <v>330</v>
      </c>
      <c r="H18" s="2005">
        <v>5445</v>
      </c>
      <c r="I18" s="2004">
        <v>2640</v>
      </c>
      <c r="J18" s="2005">
        <v>0</v>
      </c>
      <c r="K18" s="2004">
        <v>0</v>
      </c>
      <c r="L18" s="2005">
        <v>0</v>
      </c>
      <c r="M18" s="2004">
        <v>0</v>
      </c>
      <c r="N18" s="2006">
        <f t="shared" si="0"/>
        <v>15950</v>
      </c>
    </row>
    <row r="19" spans="1:19" ht="24" customHeight="1">
      <c r="A19" s="1998" t="s">
        <v>439</v>
      </c>
      <c r="B19" s="2003">
        <v>27295</v>
      </c>
      <c r="C19" s="2004">
        <v>22599</v>
      </c>
      <c r="D19" s="2005">
        <v>33088</v>
      </c>
      <c r="E19" s="2004">
        <v>25674</v>
      </c>
      <c r="F19" s="2005">
        <v>39009</v>
      </c>
      <c r="G19" s="2005">
        <v>91149</v>
      </c>
      <c r="H19" s="2005">
        <v>83186</v>
      </c>
      <c r="I19" s="2004">
        <v>78163</v>
      </c>
      <c r="J19" s="2005">
        <v>86883</v>
      </c>
      <c r="K19" s="2004">
        <v>88028</v>
      </c>
      <c r="L19" s="2005">
        <v>112265</v>
      </c>
      <c r="M19" s="2004">
        <v>71822</v>
      </c>
      <c r="N19" s="2006">
        <f t="shared" si="0"/>
        <v>759161</v>
      </c>
    </row>
    <row r="20" spans="1:19" ht="24" customHeight="1">
      <c r="A20" s="1998" t="s">
        <v>440</v>
      </c>
      <c r="B20" s="2003">
        <v>111136</v>
      </c>
      <c r="C20" s="2004">
        <v>125401</v>
      </c>
      <c r="D20" s="2005">
        <v>117583</v>
      </c>
      <c r="E20" s="2004">
        <v>110639</v>
      </c>
      <c r="F20" s="2005">
        <v>116698</v>
      </c>
      <c r="G20" s="2005">
        <v>134841</v>
      </c>
      <c r="H20" s="2005">
        <v>133431</v>
      </c>
      <c r="I20" s="2004">
        <v>155445</v>
      </c>
      <c r="J20" s="2005">
        <v>132146</v>
      </c>
      <c r="K20" s="2004">
        <v>146926</v>
      </c>
      <c r="L20" s="2005">
        <v>134857</v>
      </c>
      <c r="M20" s="2004">
        <v>155340</v>
      </c>
      <c r="N20" s="2006">
        <f t="shared" si="0"/>
        <v>1574443</v>
      </c>
    </row>
    <row r="21" spans="1:19" ht="24" customHeight="1" thickBot="1">
      <c r="A21" s="1998" t="s">
        <v>441</v>
      </c>
      <c r="B21" s="2003">
        <v>209371</v>
      </c>
      <c r="C21" s="2005">
        <v>251880</v>
      </c>
      <c r="D21" s="2003">
        <v>255118</v>
      </c>
      <c r="E21" s="2005">
        <v>265286</v>
      </c>
      <c r="F21" s="2003">
        <v>268328</v>
      </c>
      <c r="G21" s="2005">
        <v>242779</v>
      </c>
      <c r="H21" s="2004">
        <v>182296</v>
      </c>
      <c r="I21" s="2005">
        <v>179738</v>
      </c>
      <c r="J21" s="2005">
        <v>192980</v>
      </c>
      <c r="K21" s="2003">
        <v>204444</v>
      </c>
      <c r="L21" s="2004">
        <v>197518</v>
      </c>
      <c r="M21" s="2004">
        <v>209745</v>
      </c>
      <c r="N21" s="2006">
        <f t="shared" si="0"/>
        <v>2659483</v>
      </c>
      <c r="P21" s="278" t="s">
        <v>430</v>
      </c>
    </row>
    <row r="22" spans="1:19" ht="24" customHeight="1" thickBot="1">
      <c r="A22" s="1993" t="s">
        <v>49</v>
      </c>
      <c r="B22" s="1994">
        <f>SUM(B16:B21)</f>
        <v>380944</v>
      </c>
      <c r="C22" s="1996">
        <f t="shared" ref="C22:M22" si="4">SUM(C16:C21)</f>
        <v>446150</v>
      </c>
      <c r="D22" s="1994">
        <f t="shared" si="4"/>
        <v>447615</v>
      </c>
      <c r="E22" s="1996">
        <f t="shared" si="4"/>
        <v>437215</v>
      </c>
      <c r="F22" s="1994">
        <f t="shared" si="4"/>
        <v>452484</v>
      </c>
      <c r="G22" s="1996">
        <f t="shared" si="4"/>
        <v>500836</v>
      </c>
      <c r="H22" s="1995">
        <f t="shared" si="4"/>
        <v>442947</v>
      </c>
      <c r="I22" s="1996">
        <f t="shared" si="4"/>
        <v>449007</v>
      </c>
      <c r="J22" s="1996">
        <f t="shared" si="4"/>
        <v>436465</v>
      </c>
      <c r="K22" s="1994">
        <f t="shared" si="4"/>
        <v>472983</v>
      </c>
      <c r="L22" s="1995">
        <f t="shared" si="4"/>
        <v>486598</v>
      </c>
      <c r="M22" s="1995">
        <f t="shared" si="4"/>
        <v>473158</v>
      </c>
      <c r="N22" s="2010">
        <f>SUM(N16:N21)</f>
        <v>5426402</v>
      </c>
    </row>
    <row r="23" spans="1:19" ht="24" customHeight="1" thickBot="1">
      <c r="A23" s="1998" t="s">
        <v>442</v>
      </c>
      <c r="B23" s="2011">
        <f t="shared" ref="B23:M23" si="5">+B3+B6+B11+B12+B15+B22+B7+B8</f>
        <v>3879373</v>
      </c>
      <c r="C23" s="2012">
        <f t="shared" si="5"/>
        <v>3819382</v>
      </c>
      <c r="D23" s="2012">
        <f t="shared" si="5"/>
        <v>3852215</v>
      </c>
      <c r="E23" s="2012">
        <f t="shared" si="5"/>
        <v>3360542</v>
      </c>
      <c r="F23" s="2012">
        <f t="shared" si="5"/>
        <v>3299774</v>
      </c>
      <c r="G23" s="2012">
        <f t="shared" si="5"/>
        <v>3648836</v>
      </c>
      <c r="H23" s="1996">
        <f t="shared" si="5"/>
        <v>3673379</v>
      </c>
      <c r="I23" s="2012">
        <f t="shared" si="5"/>
        <v>3656458</v>
      </c>
      <c r="J23" s="2012">
        <f t="shared" si="5"/>
        <v>3360846</v>
      </c>
      <c r="K23" s="2012">
        <f t="shared" si="5"/>
        <v>3355842</v>
      </c>
      <c r="L23" s="2012">
        <f t="shared" si="5"/>
        <v>3480671</v>
      </c>
      <c r="M23" s="2012">
        <f t="shared" si="5"/>
        <v>3335542</v>
      </c>
      <c r="N23" s="2013">
        <f>SUM(B23:M23)</f>
        <v>42722860</v>
      </c>
    </row>
    <row r="24" spans="1:19" ht="24" customHeight="1" thickBot="1">
      <c r="A24" s="282" t="s">
        <v>397</v>
      </c>
      <c r="B24" s="2014">
        <v>9140</v>
      </c>
      <c r="C24" s="1995">
        <v>9700</v>
      </c>
      <c r="D24" s="1996">
        <v>9400</v>
      </c>
      <c r="E24" s="1994">
        <v>9460</v>
      </c>
      <c r="F24" s="1996">
        <v>10040</v>
      </c>
      <c r="G24" s="2012">
        <v>10100</v>
      </c>
      <c r="H24" s="1996">
        <v>9980</v>
      </c>
      <c r="I24" s="1994">
        <v>10540</v>
      </c>
      <c r="J24" s="1996">
        <v>10520</v>
      </c>
      <c r="K24" s="2012">
        <v>10880</v>
      </c>
      <c r="L24" s="2012">
        <v>10060</v>
      </c>
      <c r="M24" s="1994">
        <v>9680</v>
      </c>
      <c r="N24" s="2006">
        <f>SUM(B24:M24)</f>
        <v>119500</v>
      </c>
      <c r="O24" s="277"/>
      <c r="P24" s="277">
        <f>+N24+N25</f>
        <v>254325</v>
      </c>
    </row>
    <row r="25" spans="1:19" ht="24" customHeight="1" thickBot="1">
      <c r="A25" s="283" t="s">
        <v>90</v>
      </c>
      <c r="B25" s="2014">
        <v>11925</v>
      </c>
      <c r="C25" s="1995">
        <v>10550</v>
      </c>
      <c r="D25" s="1996">
        <v>11700</v>
      </c>
      <c r="E25" s="1995">
        <v>9975</v>
      </c>
      <c r="F25" s="1996">
        <v>10800</v>
      </c>
      <c r="G25" s="1996">
        <v>11475</v>
      </c>
      <c r="H25" s="1996">
        <v>11800</v>
      </c>
      <c r="I25" s="1995">
        <v>11500</v>
      </c>
      <c r="J25" s="1996">
        <v>11250</v>
      </c>
      <c r="K25" s="1996">
        <v>12000</v>
      </c>
      <c r="L25" s="2012">
        <v>11100</v>
      </c>
      <c r="M25" s="1995">
        <v>10750</v>
      </c>
      <c r="N25" s="1997">
        <f>SUM(B25:M25)</f>
        <v>134825</v>
      </c>
    </row>
    <row r="26" spans="1:19" ht="24" customHeight="1" thickBot="1">
      <c r="A26" s="1993" t="s">
        <v>387</v>
      </c>
      <c r="B26" s="2015">
        <f>SUM(B23:B25)</f>
        <v>3900438</v>
      </c>
      <c r="C26" s="2016">
        <f t="shared" ref="C26:K26" si="6">SUM(C23:C25)</f>
        <v>3839632</v>
      </c>
      <c r="D26" s="2017">
        <f t="shared" si="6"/>
        <v>3873315</v>
      </c>
      <c r="E26" s="2016">
        <f t="shared" si="6"/>
        <v>3379977</v>
      </c>
      <c r="F26" s="2017">
        <f t="shared" si="6"/>
        <v>3320614</v>
      </c>
      <c r="G26" s="2017">
        <f t="shared" si="6"/>
        <v>3670411</v>
      </c>
      <c r="H26" s="2017">
        <f>SUM(H23:H25)</f>
        <v>3695159</v>
      </c>
      <c r="I26" s="2016">
        <f t="shared" si="6"/>
        <v>3678498</v>
      </c>
      <c r="J26" s="2017">
        <f t="shared" si="6"/>
        <v>3382616</v>
      </c>
      <c r="K26" s="2016">
        <f t="shared" si="6"/>
        <v>3378722</v>
      </c>
      <c r="L26" s="2017">
        <f>SUM(L23:L25)</f>
        <v>3501831</v>
      </c>
      <c r="M26" s="2016">
        <f>SUM(M23:M25)</f>
        <v>3355972</v>
      </c>
      <c r="N26" s="1997">
        <f>SUM(B26:M26)</f>
        <v>42977185</v>
      </c>
      <c r="O26" s="277"/>
    </row>
    <row r="27" spans="1:19" ht="8.25" customHeight="1"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</row>
    <row r="28" spans="1:19" ht="20.25" customHeight="1">
      <c r="A28" s="284" t="s">
        <v>443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77"/>
    </row>
    <row r="29" spans="1:19" ht="24" customHeight="1"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</row>
    <row r="30" spans="1:19" ht="24" customHeight="1">
      <c r="B30" s="277">
        <f>+B26/1000</f>
        <v>3900.4380000000001</v>
      </c>
      <c r="C30" s="277">
        <f t="shared" ref="C30:N30" si="7">+C26/1000</f>
        <v>3839.6320000000001</v>
      </c>
      <c r="D30" s="277">
        <f t="shared" si="7"/>
        <v>3873.3150000000001</v>
      </c>
      <c r="E30" s="277">
        <f t="shared" si="7"/>
        <v>3379.9769999999999</v>
      </c>
      <c r="F30" s="277">
        <f t="shared" si="7"/>
        <v>3320.614</v>
      </c>
      <c r="G30" s="277">
        <f t="shared" si="7"/>
        <v>3670.4110000000001</v>
      </c>
      <c r="H30" s="277">
        <f t="shared" si="7"/>
        <v>3695.1590000000001</v>
      </c>
      <c r="I30" s="277">
        <f t="shared" si="7"/>
        <v>3678.498</v>
      </c>
      <c r="J30" s="277">
        <f t="shared" si="7"/>
        <v>3382.616</v>
      </c>
      <c r="K30" s="277">
        <f t="shared" si="7"/>
        <v>3378.7220000000002</v>
      </c>
      <c r="L30" s="277">
        <f t="shared" si="7"/>
        <v>3501.8310000000001</v>
      </c>
      <c r="M30" s="277">
        <f t="shared" si="7"/>
        <v>3355.9720000000002</v>
      </c>
      <c r="N30" s="277">
        <f t="shared" si="7"/>
        <v>42977.184999999998</v>
      </c>
    </row>
    <row r="31" spans="1:19" ht="24" customHeight="1">
      <c r="A31" s="286"/>
      <c r="B31" s="2978"/>
      <c r="C31" s="2978"/>
      <c r="D31" s="2978"/>
      <c r="E31" s="2978"/>
      <c r="F31" s="2978"/>
      <c r="G31" s="2978"/>
      <c r="H31" s="2978"/>
      <c r="I31" s="2978"/>
      <c r="J31" s="2978"/>
      <c r="K31" s="2978"/>
      <c r="L31" s="2978"/>
      <c r="M31" s="2978"/>
      <c r="N31" s="2978"/>
      <c r="O31" s="2978"/>
      <c r="P31" s="2978"/>
      <c r="Q31" s="2978"/>
      <c r="R31" s="2978"/>
      <c r="S31" s="2978"/>
    </row>
  </sheetData>
  <mergeCells count="3">
    <mergeCell ref="B31:S31"/>
    <mergeCell ref="A1:G1"/>
    <mergeCell ref="H1:N1"/>
  </mergeCells>
  <printOptions horizontalCentered="1" verticalCentered="1"/>
  <pageMargins left="0.27559055118110237" right="0.11811023622047245" top="0.47244094488188981" bottom="0.98425196850393704" header="0.51181102362204722" footer="0.98425196850393704"/>
  <pageSetup paperSize="9" firstPageNumber="42" pageOrder="overThenDown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AB30"/>
  <sheetViews>
    <sheetView rightToLeft="1" zoomScale="80" zoomScaleNormal="80" workbookViewId="0">
      <selection activeCell="M28" sqref="M1:Y28"/>
    </sheetView>
  </sheetViews>
  <sheetFormatPr defaultColWidth="8.625" defaultRowHeight="15.75"/>
  <cols>
    <col min="1" max="1" width="16.125" style="19" bestFit="1" customWidth="1"/>
    <col min="2" max="2" width="9.125" style="19" bestFit="1" customWidth="1"/>
    <col min="3" max="6" width="9.25" style="19" bestFit="1" customWidth="1"/>
    <col min="7" max="7" width="7.75" style="19" bestFit="1" customWidth="1"/>
    <col min="8" max="8" width="9.25" style="19" bestFit="1" customWidth="1"/>
    <col min="9" max="9" width="8.25" style="19" customWidth="1"/>
    <col min="10" max="10" width="9.25" style="19" bestFit="1" customWidth="1"/>
    <col min="11" max="11" width="7.75" style="19" bestFit="1" customWidth="1"/>
    <col min="12" max="12" width="9.25" style="19" bestFit="1" customWidth="1"/>
    <col min="13" max="13" width="7.75" style="19" bestFit="1" customWidth="1"/>
    <col min="14" max="14" width="8.25" style="19" customWidth="1"/>
    <col min="15" max="17" width="7.75" style="19" bestFit="1" customWidth="1"/>
    <col min="18" max="18" width="7.75" style="19" customWidth="1"/>
    <col min="19" max="19" width="7.75" style="19" bestFit="1" customWidth="1"/>
    <col min="20" max="21" width="9.25" style="19" bestFit="1" customWidth="1"/>
    <col min="22" max="22" width="10.25" style="19" bestFit="1" customWidth="1"/>
    <col min="23" max="23" width="8.375" style="19" bestFit="1" customWidth="1"/>
    <col min="24" max="24" width="7.75" style="19" bestFit="1" customWidth="1"/>
    <col min="25" max="25" width="11.375" style="19" bestFit="1" customWidth="1"/>
    <col min="26" max="27" width="8.625" style="19"/>
    <col min="28" max="28" width="9.125" style="19" bestFit="1" customWidth="1"/>
    <col min="29" max="16384" width="8.625" style="19"/>
  </cols>
  <sheetData>
    <row r="1" spans="1:28" ht="51" customHeight="1" thickBot="1">
      <c r="A1" s="2857" t="s">
        <v>2031</v>
      </c>
      <c r="B1" s="2857"/>
      <c r="C1" s="2857"/>
      <c r="D1" s="2857"/>
      <c r="E1" s="2857"/>
      <c r="F1" s="2857"/>
      <c r="G1" s="2857"/>
      <c r="H1" s="2857"/>
      <c r="I1" s="2857"/>
      <c r="J1" s="2857"/>
      <c r="K1" s="2857"/>
      <c r="L1" s="2857"/>
      <c r="M1" s="2858" t="s">
        <v>2020</v>
      </c>
      <c r="N1" s="2858"/>
      <c r="O1" s="2858"/>
      <c r="P1" s="2858"/>
      <c r="Q1" s="2858"/>
      <c r="R1" s="2858"/>
      <c r="S1" s="2858"/>
      <c r="T1" s="2858"/>
      <c r="U1" s="2858"/>
      <c r="V1" s="2858"/>
      <c r="W1" s="2858"/>
      <c r="X1" s="2858"/>
      <c r="Y1" s="2858"/>
    </row>
    <row r="2" spans="1:28" ht="81" customHeight="1" thickBot="1">
      <c r="A2" s="2007" t="s">
        <v>1</v>
      </c>
      <c r="B2" s="2018" t="s">
        <v>78</v>
      </c>
      <c r="C2" s="2019" t="s">
        <v>70</v>
      </c>
      <c r="D2" s="2019" t="s">
        <v>79</v>
      </c>
      <c r="E2" s="2019" t="s">
        <v>71</v>
      </c>
      <c r="F2" s="2019" t="s">
        <v>68</v>
      </c>
      <c r="G2" s="2019" t="s">
        <v>82</v>
      </c>
      <c r="H2" s="2020" t="s">
        <v>76</v>
      </c>
      <c r="I2" s="2020" t="s">
        <v>86</v>
      </c>
      <c r="J2" s="2020" t="s">
        <v>84</v>
      </c>
      <c r="K2" s="2020" t="s">
        <v>72</v>
      </c>
      <c r="L2" s="2021" t="s">
        <v>73</v>
      </c>
      <c r="M2" s="2020" t="s">
        <v>74</v>
      </c>
      <c r="N2" s="2019" t="s">
        <v>75</v>
      </c>
      <c r="O2" s="2019" t="s">
        <v>77</v>
      </c>
      <c r="P2" s="2019" t="s">
        <v>88</v>
      </c>
      <c r="Q2" s="2019" t="s">
        <v>85</v>
      </c>
      <c r="R2" s="2019" t="s">
        <v>87</v>
      </c>
      <c r="S2" s="2019" t="s">
        <v>69</v>
      </c>
      <c r="T2" s="2019" t="s">
        <v>83</v>
      </c>
      <c r="U2" s="2019" t="s">
        <v>81</v>
      </c>
      <c r="V2" s="2019" t="s">
        <v>80</v>
      </c>
      <c r="W2" s="2019" t="s">
        <v>397</v>
      </c>
      <c r="X2" s="2022" t="s">
        <v>90</v>
      </c>
      <c r="Y2" s="2007" t="s">
        <v>49</v>
      </c>
    </row>
    <row r="3" spans="1:28" ht="27" customHeight="1" thickBot="1">
      <c r="A3" s="2023" t="s">
        <v>417</v>
      </c>
      <c r="B3" s="2024">
        <v>94942</v>
      </c>
      <c r="C3" s="2024">
        <v>748579</v>
      </c>
      <c r="D3" s="2024">
        <v>782233</v>
      </c>
      <c r="E3" s="2025">
        <v>1325641</v>
      </c>
      <c r="F3" s="2024">
        <v>9362</v>
      </c>
      <c r="G3" s="2024">
        <v>230</v>
      </c>
      <c r="H3" s="2024">
        <v>299051</v>
      </c>
      <c r="I3" s="2024">
        <v>9020</v>
      </c>
      <c r="J3" s="2024">
        <v>0</v>
      </c>
      <c r="K3" s="2026">
        <v>385</v>
      </c>
      <c r="L3" s="2024">
        <v>0</v>
      </c>
      <c r="M3" s="2024">
        <v>764</v>
      </c>
      <c r="N3" s="2026">
        <v>6046</v>
      </c>
      <c r="O3" s="2024">
        <v>0</v>
      </c>
      <c r="P3" s="2024">
        <v>0</v>
      </c>
      <c r="Q3" s="2026">
        <v>264</v>
      </c>
      <c r="R3" s="2024">
        <v>0</v>
      </c>
      <c r="S3" s="2024">
        <v>3355</v>
      </c>
      <c r="T3" s="2024">
        <v>782390</v>
      </c>
      <c r="U3" s="2024">
        <v>0</v>
      </c>
      <c r="V3" s="2024">
        <v>705</v>
      </c>
      <c r="W3" s="2026">
        <v>0</v>
      </c>
      <c r="X3" s="2027">
        <v>0</v>
      </c>
      <c r="Y3" s="2010">
        <f t="shared" ref="Y3:Y26" si="0">SUM(B3:X3)</f>
        <v>4062967</v>
      </c>
      <c r="Z3" s="75"/>
      <c r="AA3" s="75"/>
    </row>
    <row r="4" spans="1:28" ht="27" customHeight="1">
      <c r="A4" s="2028" t="s">
        <v>419</v>
      </c>
      <c r="B4" s="2029">
        <v>737</v>
      </c>
      <c r="C4" s="2029">
        <v>0</v>
      </c>
      <c r="D4" s="2029">
        <v>0</v>
      </c>
      <c r="E4" s="2029">
        <v>0</v>
      </c>
      <c r="F4" s="2029">
        <v>154895</v>
      </c>
      <c r="G4" s="2029">
        <v>253</v>
      </c>
      <c r="H4" s="2029">
        <v>1905</v>
      </c>
      <c r="I4" s="2029">
        <v>0</v>
      </c>
      <c r="J4" s="2029">
        <v>574056</v>
      </c>
      <c r="K4" s="2030">
        <v>141732</v>
      </c>
      <c r="L4" s="2029">
        <v>1267</v>
      </c>
      <c r="M4" s="2029">
        <v>180260</v>
      </c>
      <c r="N4" s="2030">
        <v>56</v>
      </c>
      <c r="O4" s="2029">
        <v>0</v>
      </c>
      <c r="P4" s="2029">
        <v>0</v>
      </c>
      <c r="Q4" s="2030">
        <v>0</v>
      </c>
      <c r="R4" s="2029">
        <v>0</v>
      </c>
      <c r="S4" s="2029">
        <v>0</v>
      </c>
      <c r="T4" s="2029">
        <v>0</v>
      </c>
      <c r="U4" s="2029">
        <v>123842</v>
      </c>
      <c r="V4" s="2029">
        <v>0</v>
      </c>
      <c r="W4" s="2030">
        <v>0</v>
      </c>
      <c r="X4" s="2031">
        <v>0</v>
      </c>
      <c r="Y4" s="2032">
        <f t="shared" si="0"/>
        <v>1179003</v>
      </c>
      <c r="Z4" s="75"/>
      <c r="AA4" s="75"/>
    </row>
    <row r="5" spans="1:28" ht="27" customHeight="1" thickBot="1">
      <c r="A5" s="2028" t="s">
        <v>421</v>
      </c>
      <c r="B5" s="2029">
        <v>144152</v>
      </c>
      <c r="C5" s="2029">
        <v>0</v>
      </c>
      <c r="D5" s="2029">
        <v>616594</v>
      </c>
      <c r="E5" s="2029">
        <v>0</v>
      </c>
      <c r="F5" s="2029">
        <v>2933</v>
      </c>
      <c r="G5" s="2029">
        <v>0</v>
      </c>
      <c r="H5" s="2029">
        <v>817</v>
      </c>
      <c r="I5" s="2029">
        <v>0</v>
      </c>
      <c r="J5" s="2029">
        <v>5834295</v>
      </c>
      <c r="K5" s="2030">
        <v>0</v>
      </c>
      <c r="L5" s="2029">
        <v>5429</v>
      </c>
      <c r="M5" s="2029">
        <v>0</v>
      </c>
      <c r="N5" s="2030">
        <v>54236</v>
      </c>
      <c r="O5" s="2029">
        <v>40172</v>
      </c>
      <c r="P5" s="2029">
        <v>0</v>
      </c>
      <c r="Q5" s="2030">
        <v>219384</v>
      </c>
      <c r="R5" s="2029">
        <v>0</v>
      </c>
      <c r="S5" s="2029">
        <v>0</v>
      </c>
      <c r="T5" s="2029">
        <v>4409387</v>
      </c>
      <c r="U5" s="2029">
        <v>1129247</v>
      </c>
      <c r="V5" s="2029">
        <v>10704954</v>
      </c>
      <c r="W5" s="2030">
        <v>0</v>
      </c>
      <c r="X5" s="2031">
        <v>0</v>
      </c>
      <c r="Y5" s="2032">
        <f t="shared" si="0"/>
        <v>23161600</v>
      </c>
      <c r="Z5" s="75"/>
      <c r="AA5" s="75"/>
    </row>
    <row r="6" spans="1:28" ht="27" customHeight="1" thickBot="1">
      <c r="A6" s="2023" t="s">
        <v>423</v>
      </c>
      <c r="B6" s="2033">
        <f t="shared" ref="B6:V6" si="1">SUM(B4:B5)</f>
        <v>144889</v>
      </c>
      <c r="C6" s="2034">
        <f t="shared" si="1"/>
        <v>0</v>
      </c>
      <c r="D6" s="2034">
        <f t="shared" si="1"/>
        <v>616594</v>
      </c>
      <c r="E6" s="2035">
        <f t="shared" si="1"/>
        <v>0</v>
      </c>
      <c r="F6" s="2033">
        <f t="shared" si="1"/>
        <v>157828</v>
      </c>
      <c r="G6" s="2033">
        <f t="shared" si="1"/>
        <v>253</v>
      </c>
      <c r="H6" s="2033">
        <f t="shared" si="1"/>
        <v>2722</v>
      </c>
      <c r="I6" s="2033">
        <f t="shared" si="1"/>
        <v>0</v>
      </c>
      <c r="J6" s="2033">
        <f t="shared" si="1"/>
        <v>6408351</v>
      </c>
      <c r="K6" s="2033">
        <f t="shared" si="1"/>
        <v>141732</v>
      </c>
      <c r="L6" s="2033">
        <f t="shared" si="1"/>
        <v>6696</v>
      </c>
      <c r="M6" s="2033">
        <f t="shared" si="1"/>
        <v>180260</v>
      </c>
      <c r="N6" s="2033">
        <f t="shared" si="1"/>
        <v>54292</v>
      </c>
      <c r="O6" s="2033">
        <f t="shared" si="1"/>
        <v>40172</v>
      </c>
      <c r="P6" s="2033">
        <f t="shared" si="1"/>
        <v>0</v>
      </c>
      <c r="Q6" s="2033">
        <f t="shared" si="1"/>
        <v>219384</v>
      </c>
      <c r="R6" s="2033">
        <f t="shared" si="1"/>
        <v>0</v>
      </c>
      <c r="S6" s="2033">
        <f t="shared" si="1"/>
        <v>0</v>
      </c>
      <c r="T6" s="2033">
        <f t="shared" si="1"/>
        <v>4409387</v>
      </c>
      <c r="U6" s="2033">
        <f t="shared" si="1"/>
        <v>1253089</v>
      </c>
      <c r="V6" s="2033">
        <f t="shared" si="1"/>
        <v>10704954</v>
      </c>
      <c r="W6" s="2034">
        <v>0</v>
      </c>
      <c r="X6" s="2036">
        <v>0</v>
      </c>
      <c r="Y6" s="2010">
        <f t="shared" si="0"/>
        <v>24340603</v>
      </c>
      <c r="Z6" s="75"/>
      <c r="AA6" s="75"/>
    </row>
    <row r="7" spans="1:28" ht="27" customHeight="1" thickBot="1">
      <c r="A7" s="2028" t="s">
        <v>425</v>
      </c>
      <c r="B7" s="2037">
        <v>10680</v>
      </c>
      <c r="C7" s="2037">
        <v>385</v>
      </c>
      <c r="D7" s="2037">
        <v>198603</v>
      </c>
      <c r="E7" s="2037">
        <v>11433</v>
      </c>
      <c r="F7" s="2037">
        <v>0</v>
      </c>
      <c r="G7" s="2037">
        <v>2148</v>
      </c>
      <c r="H7" s="2037">
        <v>276452</v>
      </c>
      <c r="I7" s="2037">
        <v>0</v>
      </c>
      <c r="J7" s="2037">
        <v>201184</v>
      </c>
      <c r="K7" s="2038">
        <v>0</v>
      </c>
      <c r="L7" s="2037">
        <v>1006</v>
      </c>
      <c r="M7" s="2037">
        <v>56111</v>
      </c>
      <c r="N7" s="2037">
        <v>49518</v>
      </c>
      <c r="O7" s="2037">
        <v>0</v>
      </c>
      <c r="P7" s="2037">
        <v>3870</v>
      </c>
      <c r="Q7" s="2037">
        <v>0</v>
      </c>
      <c r="R7" s="2037">
        <v>99638</v>
      </c>
      <c r="S7" s="2037">
        <v>383405</v>
      </c>
      <c r="T7" s="2037">
        <v>2812</v>
      </c>
      <c r="U7" s="2037">
        <v>0</v>
      </c>
      <c r="V7" s="2037">
        <v>55</v>
      </c>
      <c r="W7" s="2037">
        <v>0</v>
      </c>
      <c r="X7" s="2037">
        <v>0</v>
      </c>
      <c r="Y7" s="2010">
        <f t="shared" si="0"/>
        <v>1297300</v>
      </c>
      <c r="Z7" s="75"/>
      <c r="AA7" s="75"/>
    </row>
    <row r="8" spans="1:28" ht="27" customHeight="1" thickBot="1">
      <c r="A8" s="2023" t="s">
        <v>427</v>
      </c>
      <c r="B8" s="2024">
        <v>109621</v>
      </c>
      <c r="C8" s="2024">
        <v>128670</v>
      </c>
      <c r="D8" s="2024">
        <v>166515</v>
      </c>
      <c r="E8" s="2024">
        <v>185097</v>
      </c>
      <c r="F8" s="2024">
        <v>54358</v>
      </c>
      <c r="G8" s="2024">
        <v>41866</v>
      </c>
      <c r="H8" s="2024">
        <v>52356</v>
      </c>
      <c r="I8" s="2024">
        <v>41690</v>
      </c>
      <c r="J8" s="2024">
        <v>1540</v>
      </c>
      <c r="K8" s="2026">
        <v>28677</v>
      </c>
      <c r="L8" s="2024">
        <v>126833</v>
      </c>
      <c r="M8" s="2024">
        <v>15610</v>
      </c>
      <c r="N8" s="2024">
        <v>448</v>
      </c>
      <c r="O8" s="2024">
        <v>52854</v>
      </c>
      <c r="P8" s="2024">
        <v>245932</v>
      </c>
      <c r="Q8" s="2026">
        <v>32464</v>
      </c>
      <c r="R8" s="2024">
        <v>100271</v>
      </c>
      <c r="S8" s="2024">
        <v>990</v>
      </c>
      <c r="T8" s="2024">
        <v>36929</v>
      </c>
      <c r="U8" s="2024">
        <v>70912</v>
      </c>
      <c r="V8" s="2024">
        <v>107392</v>
      </c>
      <c r="W8" s="2026">
        <v>0</v>
      </c>
      <c r="X8" s="2027">
        <v>0</v>
      </c>
      <c r="Y8" s="2039">
        <f t="shared" si="0"/>
        <v>1601025</v>
      </c>
      <c r="Z8" s="75"/>
      <c r="AA8" s="75"/>
    </row>
    <row r="9" spans="1:28" ht="27" customHeight="1">
      <c r="A9" s="2028" t="s">
        <v>429</v>
      </c>
      <c r="B9" s="2029">
        <v>5000</v>
      </c>
      <c r="C9" s="2029">
        <v>96462</v>
      </c>
      <c r="D9" s="2029">
        <v>0</v>
      </c>
      <c r="E9" s="2040">
        <v>550</v>
      </c>
      <c r="F9" s="2029">
        <v>930484</v>
      </c>
      <c r="G9" s="2029">
        <v>0</v>
      </c>
      <c r="H9" s="2029">
        <v>3405</v>
      </c>
      <c r="I9" s="2029">
        <v>70906</v>
      </c>
      <c r="J9" s="2029">
        <v>0</v>
      </c>
      <c r="K9" s="2030">
        <v>8019</v>
      </c>
      <c r="L9" s="2029">
        <v>103139</v>
      </c>
      <c r="M9" s="2029">
        <v>0</v>
      </c>
      <c r="N9" s="2030">
        <v>26431</v>
      </c>
      <c r="O9" s="2029">
        <v>27776</v>
      </c>
      <c r="P9" s="2029">
        <v>70008</v>
      </c>
      <c r="Q9" s="2030">
        <v>80404</v>
      </c>
      <c r="R9" s="2029">
        <v>825</v>
      </c>
      <c r="S9" s="2029">
        <v>13640</v>
      </c>
      <c r="T9" s="2029">
        <v>200271</v>
      </c>
      <c r="U9" s="2029">
        <v>0</v>
      </c>
      <c r="V9" s="2029">
        <v>0</v>
      </c>
      <c r="W9" s="2030">
        <v>0</v>
      </c>
      <c r="X9" s="2031">
        <v>0</v>
      </c>
      <c r="Y9" s="2032">
        <f t="shared" si="0"/>
        <v>1637320</v>
      </c>
      <c r="Z9" s="75"/>
      <c r="AA9" s="75"/>
    </row>
    <row r="10" spans="1:28" ht="27" customHeight="1" thickBot="1">
      <c r="A10" s="2028" t="s">
        <v>432</v>
      </c>
      <c r="B10" s="2029">
        <v>37302</v>
      </c>
      <c r="C10" s="2029">
        <v>0</v>
      </c>
      <c r="D10" s="2029">
        <v>171</v>
      </c>
      <c r="E10" s="2041">
        <v>1163</v>
      </c>
      <c r="F10" s="2029">
        <v>1522</v>
      </c>
      <c r="G10" s="2029">
        <v>391</v>
      </c>
      <c r="H10" s="2029">
        <v>99614</v>
      </c>
      <c r="I10" s="2029">
        <v>0</v>
      </c>
      <c r="J10" s="2029">
        <v>55</v>
      </c>
      <c r="K10" s="2030">
        <v>0</v>
      </c>
      <c r="L10" s="2029">
        <v>82698</v>
      </c>
      <c r="M10" s="2029">
        <v>7278</v>
      </c>
      <c r="N10" s="2030">
        <v>47971</v>
      </c>
      <c r="O10" s="2029">
        <v>1211</v>
      </c>
      <c r="P10" s="2029">
        <v>0</v>
      </c>
      <c r="Q10" s="2030">
        <v>19216</v>
      </c>
      <c r="R10" s="2029">
        <v>524</v>
      </c>
      <c r="S10" s="2029">
        <v>0</v>
      </c>
      <c r="T10" s="2029">
        <v>68</v>
      </c>
      <c r="U10" s="2029">
        <v>0</v>
      </c>
      <c r="V10" s="2029">
        <v>0</v>
      </c>
      <c r="W10" s="2030">
        <v>0</v>
      </c>
      <c r="X10" s="2031">
        <v>0</v>
      </c>
      <c r="Y10" s="2032">
        <f t="shared" si="0"/>
        <v>299184</v>
      </c>
      <c r="Z10" s="75"/>
      <c r="AA10" s="75"/>
    </row>
    <row r="11" spans="1:28" ht="27" customHeight="1" thickBot="1">
      <c r="A11" s="2023" t="s">
        <v>49</v>
      </c>
      <c r="B11" s="2033">
        <f t="shared" ref="B11:W11" si="2">SUM(B9:B10)</f>
        <v>42302</v>
      </c>
      <c r="C11" s="2034">
        <f t="shared" si="2"/>
        <v>96462</v>
      </c>
      <c r="D11" s="2034">
        <f t="shared" si="2"/>
        <v>171</v>
      </c>
      <c r="E11" s="2035">
        <f t="shared" si="2"/>
        <v>1713</v>
      </c>
      <c r="F11" s="2033">
        <f t="shared" si="2"/>
        <v>932006</v>
      </c>
      <c r="G11" s="2033">
        <f t="shared" si="2"/>
        <v>391</v>
      </c>
      <c r="H11" s="2033">
        <f t="shared" si="2"/>
        <v>103019</v>
      </c>
      <c r="I11" s="2033">
        <f t="shared" si="2"/>
        <v>70906</v>
      </c>
      <c r="J11" s="2033">
        <f t="shared" si="2"/>
        <v>55</v>
      </c>
      <c r="K11" s="2033">
        <f t="shared" si="2"/>
        <v>8019</v>
      </c>
      <c r="L11" s="2033">
        <f t="shared" si="2"/>
        <v>185837</v>
      </c>
      <c r="M11" s="2033">
        <f t="shared" si="2"/>
        <v>7278</v>
      </c>
      <c r="N11" s="2033">
        <f t="shared" si="2"/>
        <v>74402</v>
      </c>
      <c r="O11" s="2033">
        <f t="shared" si="2"/>
        <v>28987</v>
      </c>
      <c r="P11" s="2033">
        <f t="shared" si="2"/>
        <v>70008</v>
      </c>
      <c r="Q11" s="2033">
        <f t="shared" si="2"/>
        <v>99620</v>
      </c>
      <c r="R11" s="2033">
        <f t="shared" si="2"/>
        <v>1349</v>
      </c>
      <c r="S11" s="2033">
        <f t="shared" si="2"/>
        <v>13640</v>
      </c>
      <c r="T11" s="2033">
        <f t="shared" si="2"/>
        <v>200339</v>
      </c>
      <c r="U11" s="2033">
        <f t="shared" si="2"/>
        <v>0</v>
      </c>
      <c r="V11" s="2033">
        <f t="shared" si="2"/>
        <v>0</v>
      </c>
      <c r="W11" s="2033">
        <f t="shared" si="2"/>
        <v>0</v>
      </c>
      <c r="X11" s="2036">
        <v>0</v>
      </c>
      <c r="Y11" s="2010">
        <f t="shared" si="0"/>
        <v>1936504</v>
      </c>
      <c r="Z11" s="75"/>
      <c r="AA11" s="75"/>
    </row>
    <row r="12" spans="1:28" ht="27" customHeight="1" thickBot="1">
      <c r="A12" s="2023" t="s">
        <v>433</v>
      </c>
      <c r="B12" s="2024">
        <v>23510</v>
      </c>
      <c r="C12" s="2024">
        <v>0</v>
      </c>
      <c r="D12" s="2024">
        <v>101</v>
      </c>
      <c r="E12" s="2024">
        <v>13811</v>
      </c>
      <c r="F12" s="2024">
        <v>408620</v>
      </c>
      <c r="G12" s="2024">
        <v>1127</v>
      </c>
      <c r="H12" s="2024">
        <v>27551</v>
      </c>
      <c r="I12" s="2024">
        <v>55</v>
      </c>
      <c r="J12" s="2024">
        <v>0</v>
      </c>
      <c r="K12" s="2026">
        <v>16514</v>
      </c>
      <c r="L12" s="2024">
        <v>208966</v>
      </c>
      <c r="M12" s="2024">
        <v>0</v>
      </c>
      <c r="N12" s="2026">
        <v>72247</v>
      </c>
      <c r="O12" s="2024">
        <v>474</v>
      </c>
      <c r="P12" s="2024">
        <v>0</v>
      </c>
      <c r="Q12" s="2024">
        <v>0</v>
      </c>
      <c r="R12" s="2024">
        <v>0</v>
      </c>
      <c r="S12" s="2024">
        <v>0</v>
      </c>
      <c r="T12" s="2024">
        <v>3186</v>
      </c>
      <c r="U12" s="2024">
        <v>0</v>
      </c>
      <c r="V12" s="2024">
        <v>0</v>
      </c>
      <c r="W12" s="2026">
        <v>0</v>
      </c>
      <c r="X12" s="2027">
        <v>0</v>
      </c>
      <c r="Y12" s="2010">
        <f t="shared" si="0"/>
        <v>776162</v>
      </c>
      <c r="Z12" s="75"/>
      <c r="AA12" s="75"/>
    </row>
    <row r="13" spans="1:28" ht="27" customHeight="1">
      <c r="A13" s="2028" t="s">
        <v>434</v>
      </c>
      <c r="B13" s="2029">
        <v>47569</v>
      </c>
      <c r="C13" s="2029">
        <v>690</v>
      </c>
      <c r="D13" s="2029">
        <v>1134923</v>
      </c>
      <c r="E13" s="2029">
        <v>17595</v>
      </c>
      <c r="F13" s="2029">
        <v>1219850</v>
      </c>
      <c r="G13" s="2029">
        <v>92</v>
      </c>
      <c r="H13" s="2029">
        <v>251705</v>
      </c>
      <c r="I13" s="2029">
        <v>110</v>
      </c>
      <c r="J13" s="2029">
        <v>402</v>
      </c>
      <c r="K13" s="2030">
        <v>0</v>
      </c>
      <c r="L13" s="2029">
        <v>0</v>
      </c>
      <c r="M13" s="2029">
        <v>522</v>
      </c>
      <c r="N13" s="2030">
        <v>29744</v>
      </c>
      <c r="O13" s="2029">
        <v>33419</v>
      </c>
      <c r="P13" s="2029">
        <v>1332</v>
      </c>
      <c r="Q13" s="2030">
        <v>1056</v>
      </c>
      <c r="R13" s="2029">
        <v>12707</v>
      </c>
      <c r="S13" s="2029">
        <v>330</v>
      </c>
      <c r="T13" s="2029">
        <v>212182</v>
      </c>
      <c r="U13" s="2030">
        <v>84327</v>
      </c>
      <c r="V13" s="2029">
        <v>110797</v>
      </c>
      <c r="W13" s="2030">
        <v>0</v>
      </c>
      <c r="X13" s="2031">
        <v>0</v>
      </c>
      <c r="Y13" s="2032">
        <f t="shared" si="0"/>
        <v>3159352</v>
      </c>
      <c r="Z13" s="75"/>
      <c r="AA13" s="75"/>
    </row>
    <row r="14" spans="1:28" ht="27" customHeight="1" thickBot="1">
      <c r="A14" s="2028" t="s">
        <v>435</v>
      </c>
      <c r="B14" s="2029">
        <v>5082</v>
      </c>
      <c r="C14" s="2029">
        <v>0</v>
      </c>
      <c r="D14" s="2029">
        <v>0</v>
      </c>
      <c r="E14" s="2029">
        <v>0</v>
      </c>
      <c r="F14" s="2029">
        <v>110010</v>
      </c>
      <c r="G14" s="2029">
        <v>0</v>
      </c>
      <c r="H14" s="2029">
        <v>417</v>
      </c>
      <c r="I14" s="2029">
        <v>0</v>
      </c>
      <c r="J14" s="2029">
        <v>0</v>
      </c>
      <c r="K14" s="2030">
        <v>0</v>
      </c>
      <c r="L14" s="2029">
        <v>0</v>
      </c>
      <c r="M14" s="2029">
        <v>6968</v>
      </c>
      <c r="N14" s="2030">
        <v>68</v>
      </c>
      <c r="O14" s="2029">
        <v>0</v>
      </c>
      <c r="P14" s="2029">
        <v>0</v>
      </c>
      <c r="Q14" s="2030">
        <v>0</v>
      </c>
      <c r="R14" s="2029">
        <v>0</v>
      </c>
      <c r="S14" s="2029">
        <v>0</v>
      </c>
      <c r="T14" s="2029">
        <v>0</v>
      </c>
      <c r="U14" s="2029">
        <v>0</v>
      </c>
      <c r="V14" s="2029">
        <v>0</v>
      </c>
      <c r="W14" s="2030">
        <v>0</v>
      </c>
      <c r="X14" s="2031">
        <v>0</v>
      </c>
      <c r="Y14" s="2032">
        <f t="shared" si="0"/>
        <v>122545</v>
      </c>
      <c r="Z14" s="75"/>
      <c r="AA14" s="75"/>
    </row>
    <row r="15" spans="1:28" ht="27" customHeight="1" thickBot="1">
      <c r="A15" s="2023" t="s">
        <v>49</v>
      </c>
      <c r="B15" s="2033">
        <f t="shared" ref="B15:V15" si="3">SUM(B13:B14)</f>
        <v>52651</v>
      </c>
      <c r="C15" s="2034">
        <f t="shared" si="3"/>
        <v>690</v>
      </c>
      <c r="D15" s="2034">
        <f t="shared" si="3"/>
        <v>1134923</v>
      </c>
      <c r="E15" s="2034">
        <f t="shared" si="3"/>
        <v>17595</v>
      </c>
      <c r="F15" s="2033">
        <f t="shared" si="3"/>
        <v>1329860</v>
      </c>
      <c r="G15" s="2033">
        <f t="shared" si="3"/>
        <v>92</v>
      </c>
      <c r="H15" s="2033">
        <f t="shared" si="3"/>
        <v>252122</v>
      </c>
      <c r="I15" s="2033">
        <f t="shared" si="3"/>
        <v>110</v>
      </c>
      <c r="J15" s="2033">
        <f t="shared" si="3"/>
        <v>402</v>
      </c>
      <c r="K15" s="2033">
        <f t="shared" si="3"/>
        <v>0</v>
      </c>
      <c r="L15" s="2033">
        <f t="shared" si="3"/>
        <v>0</v>
      </c>
      <c r="M15" s="2033">
        <f t="shared" si="3"/>
        <v>7490</v>
      </c>
      <c r="N15" s="2033">
        <f t="shared" si="3"/>
        <v>29812</v>
      </c>
      <c r="O15" s="2033">
        <f t="shared" si="3"/>
        <v>33419</v>
      </c>
      <c r="P15" s="2033">
        <f t="shared" si="3"/>
        <v>1332</v>
      </c>
      <c r="Q15" s="2033">
        <f t="shared" si="3"/>
        <v>1056</v>
      </c>
      <c r="R15" s="2033">
        <f t="shared" si="3"/>
        <v>12707</v>
      </c>
      <c r="S15" s="2033">
        <f t="shared" si="3"/>
        <v>330</v>
      </c>
      <c r="T15" s="2033">
        <f t="shared" si="3"/>
        <v>212182</v>
      </c>
      <c r="U15" s="2033">
        <f t="shared" si="3"/>
        <v>84327</v>
      </c>
      <c r="V15" s="2033">
        <f t="shared" si="3"/>
        <v>110797</v>
      </c>
      <c r="W15" s="2034">
        <v>0</v>
      </c>
      <c r="X15" s="2036">
        <v>0</v>
      </c>
      <c r="Y15" s="2010">
        <f t="shared" si="0"/>
        <v>3281897</v>
      </c>
      <c r="Z15" s="75"/>
      <c r="AA15" s="75"/>
      <c r="AB15" s="277"/>
    </row>
    <row r="16" spans="1:28" ht="23.25" customHeight="1">
      <c r="A16" s="2028" t="s">
        <v>436</v>
      </c>
      <c r="B16" s="2029">
        <v>47258</v>
      </c>
      <c r="C16" s="2029">
        <v>0</v>
      </c>
      <c r="D16" s="2029">
        <v>0</v>
      </c>
      <c r="E16" s="2029">
        <v>0</v>
      </c>
      <c r="F16" s="2029">
        <v>43343</v>
      </c>
      <c r="G16" s="2029">
        <v>0</v>
      </c>
      <c r="H16" s="2029">
        <v>4078</v>
      </c>
      <c r="I16" s="2029">
        <v>0</v>
      </c>
      <c r="J16" s="2029">
        <v>0</v>
      </c>
      <c r="K16" s="2030">
        <v>0</v>
      </c>
      <c r="L16" s="2029">
        <v>226595</v>
      </c>
      <c r="M16" s="2029">
        <v>0</v>
      </c>
      <c r="N16" s="2030">
        <v>31</v>
      </c>
      <c r="O16" s="2029">
        <v>0</v>
      </c>
      <c r="P16" s="2029">
        <v>0</v>
      </c>
      <c r="Q16" s="2030">
        <v>0</v>
      </c>
      <c r="R16" s="2029">
        <v>0</v>
      </c>
      <c r="S16" s="2029">
        <v>0</v>
      </c>
      <c r="T16" s="2029">
        <v>0</v>
      </c>
      <c r="U16" s="2029">
        <v>0</v>
      </c>
      <c r="V16" s="2029">
        <v>0</v>
      </c>
      <c r="W16" s="2030">
        <v>0</v>
      </c>
      <c r="X16" s="2031">
        <v>0</v>
      </c>
      <c r="Y16" s="2032">
        <f t="shared" si="0"/>
        <v>321305</v>
      </c>
      <c r="Z16" s="75"/>
      <c r="AA16" s="75"/>
    </row>
    <row r="17" spans="1:27" ht="23.25" customHeight="1">
      <c r="A17" s="2028" t="s">
        <v>437</v>
      </c>
      <c r="B17" s="2029">
        <v>17601</v>
      </c>
      <c r="C17" s="2029">
        <v>0</v>
      </c>
      <c r="D17" s="2029">
        <v>1598</v>
      </c>
      <c r="E17" s="2029">
        <v>29948</v>
      </c>
      <c r="F17" s="2029">
        <v>0</v>
      </c>
      <c r="G17" s="2029">
        <v>0</v>
      </c>
      <c r="H17" s="2029">
        <v>31703</v>
      </c>
      <c r="I17" s="2029">
        <v>55</v>
      </c>
      <c r="J17" s="2029">
        <v>0</v>
      </c>
      <c r="K17" s="2030">
        <v>0</v>
      </c>
      <c r="L17" s="2029">
        <v>24</v>
      </c>
      <c r="M17" s="2029">
        <v>24</v>
      </c>
      <c r="N17" s="2030">
        <v>0</v>
      </c>
      <c r="O17" s="2029">
        <v>0</v>
      </c>
      <c r="P17" s="2029">
        <v>0</v>
      </c>
      <c r="Q17" s="2030">
        <v>4298</v>
      </c>
      <c r="R17" s="2029">
        <v>0</v>
      </c>
      <c r="S17" s="2029">
        <v>0</v>
      </c>
      <c r="T17" s="2029">
        <v>0</v>
      </c>
      <c r="U17" s="2029">
        <v>10809</v>
      </c>
      <c r="V17" s="2029">
        <v>0</v>
      </c>
      <c r="W17" s="2030">
        <v>0</v>
      </c>
      <c r="X17" s="2031">
        <v>0</v>
      </c>
      <c r="Y17" s="2032">
        <f t="shared" si="0"/>
        <v>96060</v>
      </c>
      <c r="Z17" s="75"/>
      <c r="AA17" s="75"/>
    </row>
    <row r="18" spans="1:27" ht="23.25" customHeight="1">
      <c r="A18" s="2028" t="s">
        <v>438</v>
      </c>
      <c r="B18" s="2029">
        <v>0</v>
      </c>
      <c r="C18" s="2029">
        <v>0</v>
      </c>
      <c r="D18" s="2029">
        <v>0</v>
      </c>
      <c r="E18" s="2029">
        <v>0</v>
      </c>
      <c r="F18" s="2029">
        <v>0</v>
      </c>
      <c r="G18" s="2029">
        <v>0</v>
      </c>
      <c r="H18" s="2029">
        <v>0</v>
      </c>
      <c r="I18" s="2029">
        <v>7535</v>
      </c>
      <c r="J18" s="2029">
        <v>0</v>
      </c>
      <c r="K18" s="2030">
        <v>0</v>
      </c>
      <c r="L18" s="2029">
        <v>0</v>
      </c>
      <c r="M18" s="2029">
        <v>0</v>
      </c>
      <c r="N18" s="2030">
        <v>0</v>
      </c>
      <c r="O18" s="2029">
        <v>0</v>
      </c>
      <c r="P18" s="2029">
        <v>0</v>
      </c>
      <c r="Q18" s="2030">
        <v>0</v>
      </c>
      <c r="R18" s="2029">
        <v>0</v>
      </c>
      <c r="S18" s="2029">
        <v>8415</v>
      </c>
      <c r="T18" s="2029">
        <v>0</v>
      </c>
      <c r="U18" s="2029">
        <v>0</v>
      </c>
      <c r="V18" s="2029">
        <v>0</v>
      </c>
      <c r="W18" s="2030">
        <v>0</v>
      </c>
      <c r="X18" s="2031">
        <v>0</v>
      </c>
      <c r="Y18" s="2032">
        <f t="shared" si="0"/>
        <v>15950</v>
      </c>
      <c r="Z18" s="75"/>
      <c r="AA18" s="75"/>
    </row>
    <row r="19" spans="1:27" ht="23.25" customHeight="1">
      <c r="A19" s="2028" t="s">
        <v>439</v>
      </c>
      <c r="B19" s="2029">
        <v>5197</v>
      </c>
      <c r="C19" s="2029">
        <v>0</v>
      </c>
      <c r="D19" s="2029">
        <v>0</v>
      </c>
      <c r="E19" s="2029">
        <v>0</v>
      </c>
      <c r="F19" s="2029">
        <v>0</v>
      </c>
      <c r="G19" s="2029">
        <v>28327</v>
      </c>
      <c r="H19" s="2029">
        <v>725475</v>
      </c>
      <c r="I19" s="2029">
        <v>0</v>
      </c>
      <c r="J19" s="2029">
        <v>0</v>
      </c>
      <c r="K19" s="2030">
        <v>0</v>
      </c>
      <c r="L19" s="2029">
        <v>162</v>
      </c>
      <c r="M19" s="2029">
        <v>0</v>
      </c>
      <c r="N19" s="2030">
        <v>0</v>
      </c>
      <c r="O19" s="2029">
        <v>0</v>
      </c>
      <c r="P19" s="2029">
        <v>0</v>
      </c>
      <c r="Q19" s="2030">
        <v>0</v>
      </c>
      <c r="R19" s="2029">
        <v>0</v>
      </c>
      <c r="S19" s="2029">
        <v>0</v>
      </c>
      <c r="T19" s="2029">
        <v>0</v>
      </c>
      <c r="U19" s="2029">
        <v>0</v>
      </c>
      <c r="V19" s="2029">
        <v>0</v>
      </c>
      <c r="W19" s="2030">
        <v>0</v>
      </c>
      <c r="X19" s="2031">
        <v>0</v>
      </c>
      <c r="Y19" s="2032">
        <f t="shared" si="0"/>
        <v>759161</v>
      </c>
      <c r="Z19" s="75"/>
      <c r="AA19" s="75"/>
    </row>
    <row r="20" spans="1:27" ht="23.25" customHeight="1">
      <c r="A20" s="2028" t="s">
        <v>440</v>
      </c>
      <c r="B20" s="2029">
        <v>389208</v>
      </c>
      <c r="C20" s="2029">
        <v>87290</v>
      </c>
      <c r="D20" s="2029">
        <v>39377</v>
      </c>
      <c r="E20" s="2029">
        <v>55696</v>
      </c>
      <c r="F20" s="2029">
        <v>375143</v>
      </c>
      <c r="G20" s="2029">
        <v>0</v>
      </c>
      <c r="H20" s="2029">
        <v>27500</v>
      </c>
      <c r="I20" s="2029">
        <v>0</v>
      </c>
      <c r="J20" s="2029">
        <v>0</v>
      </c>
      <c r="K20" s="2030">
        <v>138</v>
      </c>
      <c r="L20" s="2029">
        <v>13395</v>
      </c>
      <c r="M20" s="2029">
        <v>64978</v>
      </c>
      <c r="N20" s="2030">
        <v>5137</v>
      </c>
      <c r="O20" s="2029">
        <v>0</v>
      </c>
      <c r="P20" s="2029">
        <v>0</v>
      </c>
      <c r="Q20" s="2030">
        <v>2245</v>
      </c>
      <c r="R20" s="2029">
        <v>45400</v>
      </c>
      <c r="S20" s="2029">
        <v>880</v>
      </c>
      <c r="T20" s="2029">
        <v>464334</v>
      </c>
      <c r="U20" s="2030">
        <v>3018</v>
      </c>
      <c r="V20" s="2029">
        <v>704</v>
      </c>
      <c r="W20" s="2030">
        <v>0</v>
      </c>
      <c r="X20" s="2031">
        <v>0</v>
      </c>
      <c r="Y20" s="2032">
        <f t="shared" si="0"/>
        <v>1574443</v>
      </c>
      <c r="Z20" s="75"/>
      <c r="AA20" s="75"/>
    </row>
    <row r="21" spans="1:27" ht="23.25" customHeight="1" thickBot="1">
      <c r="A21" s="2028" t="s">
        <v>444</v>
      </c>
      <c r="B21" s="2042">
        <v>70347</v>
      </c>
      <c r="C21" s="2042">
        <v>41852</v>
      </c>
      <c r="D21" s="2042">
        <v>147516</v>
      </c>
      <c r="E21" s="2042">
        <v>183190</v>
      </c>
      <c r="F21" s="2042">
        <v>76271</v>
      </c>
      <c r="G21" s="2042">
        <v>46580</v>
      </c>
      <c r="H21" s="2042">
        <v>558368</v>
      </c>
      <c r="I21" s="2042">
        <v>47210</v>
      </c>
      <c r="J21" s="2042">
        <v>149813</v>
      </c>
      <c r="K21" s="2043">
        <v>45039</v>
      </c>
      <c r="L21" s="2042">
        <v>513688</v>
      </c>
      <c r="M21" s="2042">
        <v>71776</v>
      </c>
      <c r="N21" s="2043">
        <v>162701</v>
      </c>
      <c r="O21" s="2042">
        <v>17118</v>
      </c>
      <c r="P21" s="2042">
        <v>18719</v>
      </c>
      <c r="Q21" s="2043">
        <v>18154</v>
      </c>
      <c r="R21" s="2042">
        <v>91461</v>
      </c>
      <c r="S21" s="2042">
        <v>34644</v>
      </c>
      <c r="T21" s="2042">
        <v>187040</v>
      </c>
      <c r="U21" s="2043">
        <v>27632</v>
      </c>
      <c r="V21" s="2042">
        <v>150364</v>
      </c>
      <c r="W21" s="2043">
        <v>0</v>
      </c>
      <c r="X21" s="2044">
        <v>0</v>
      </c>
      <c r="Y21" s="2045">
        <f t="shared" si="0"/>
        <v>2659483</v>
      </c>
      <c r="Z21" s="75"/>
      <c r="AA21" s="75"/>
    </row>
    <row r="22" spans="1:27" ht="22.5" customHeight="1" thickBot="1">
      <c r="A22" s="2023" t="s">
        <v>49</v>
      </c>
      <c r="B22" s="2024">
        <f t="shared" ref="B22:V22" si="4">SUM(B16:B21)</f>
        <v>529611</v>
      </c>
      <c r="C22" s="2024">
        <f t="shared" si="4"/>
        <v>129142</v>
      </c>
      <c r="D22" s="2024">
        <f t="shared" si="4"/>
        <v>188491</v>
      </c>
      <c r="E22" s="2026">
        <f t="shared" si="4"/>
        <v>268834</v>
      </c>
      <c r="F22" s="2024">
        <f t="shared" si="4"/>
        <v>494757</v>
      </c>
      <c r="G22" s="2024">
        <f t="shared" si="4"/>
        <v>74907</v>
      </c>
      <c r="H22" s="2024">
        <f t="shared" si="4"/>
        <v>1347124</v>
      </c>
      <c r="I22" s="2024">
        <f t="shared" si="4"/>
        <v>54800</v>
      </c>
      <c r="J22" s="2024">
        <f t="shared" si="4"/>
        <v>149813</v>
      </c>
      <c r="K22" s="2026">
        <f t="shared" si="4"/>
        <v>45177</v>
      </c>
      <c r="L22" s="2024">
        <f t="shared" si="4"/>
        <v>753864</v>
      </c>
      <c r="M22" s="2029">
        <f t="shared" si="4"/>
        <v>136778</v>
      </c>
      <c r="N22" s="2024">
        <f t="shared" si="4"/>
        <v>167869</v>
      </c>
      <c r="O22" s="2024">
        <f t="shared" si="4"/>
        <v>17118</v>
      </c>
      <c r="P22" s="2024">
        <f t="shared" si="4"/>
        <v>18719</v>
      </c>
      <c r="Q22" s="2024">
        <f t="shared" si="4"/>
        <v>24697</v>
      </c>
      <c r="R22" s="2024">
        <f t="shared" si="4"/>
        <v>136861</v>
      </c>
      <c r="S22" s="2024">
        <f t="shared" si="4"/>
        <v>43939</v>
      </c>
      <c r="T22" s="2024">
        <f t="shared" si="4"/>
        <v>651374</v>
      </c>
      <c r="U22" s="2024">
        <f t="shared" si="4"/>
        <v>41459</v>
      </c>
      <c r="V22" s="2024">
        <f t="shared" si="4"/>
        <v>151068</v>
      </c>
      <c r="W22" s="2026">
        <v>0</v>
      </c>
      <c r="X22" s="2027">
        <f>SUM(X16:X21)</f>
        <v>0</v>
      </c>
      <c r="Y22" s="2045">
        <f t="shared" si="0"/>
        <v>5426402</v>
      </c>
      <c r="Z22" s="75"/>
      <c r="AA22" s="75"/>
    </row>
    <row r="23" spans="1:27" ht="22.5" customHeight="1" thickBot="1">
      <c r="A23" s="2046" t="s">
        <v>442</v>
      </c>
      <c r="B23" s="2033">
        <f t="shared" ref="B23:V23" si="5">SUM(B7,B8,B3,B6,B11,B12,B15,B22)</f>
        <v>1008206</v>
      </c>
      <c r="C23" s="2033">
        <f t="shared" si="5"/>
        <v>1103928</v>
      </c>
      <c r="D23" s="2033">
        <f t="shared" si="5"/>
        <v>3087631</v>
      </c>
      <c r="E23" s="2033">
        <f t="shared" si="5"/>
        <v>1824124</v>
      </c>
      <c r="F23" s="2033">
        <f t="shared" si="5"/>
        <v>3386791</v>
      </c>
      <c r="G23" s="2033">
        <f t="shared" si="5"/>
        <v>121014</v>
      </c>
      <c r="H23" s="2033">
        <f t="shared" si="5"/>
        <v>2360397</v>
      </c>
      <c r="I23" s="2033">
        <f t="shared" si="5"/>
        <v>176581</v>
      </c>
      <c r="J23" s="2033">
        <f t="shared" si="5"/>
        <v>6761345</v>
      </c>
      <c r="K23" s="2034">
        <f t="shared" si="5"/>
        <v>240504</v>
      </c>
      <c r="L23" s="2033">
        <f t="shared" si="5"/>
        <v>1283202</v>
      </c>
      <c r="M23" s="2033">
        <f t="shared" si="5"/>
        <v>404291</v>
      </c>
      <c r="N23" s="2033">
        <f t="shared" si="5"/>
        <v>454634</v>
      </c>
      <c r="O23" s="2033">
        <f t="shared" si="5"/>
        <v>173024</v>
      </c>
      <c r="P23" s="2033">
        <f t="shared" si="5"/>
        <v>339861</v>
      </c>
      <c r="Q23" s="2033">
        <f t="shared" si="5"/>
        <v>377485</v>
      </c>
      <c r="R23" s="2033">
        <f t="shared" si="5"/>
        <v>350826</v>
      </c>
      <c r="S23" s="2033">
        <f t="shared" si="5"/>
        <v>445659</v>
      </c>
      <c r="T23" s="2033">
        <f t="shared" si="5"/>
        <v>6298599</v>
      </c>
      <c r="U23" s="2033">
        <f t="shared" si="5"/>
        <v>1449787</v>
      </c>
      <c r="V23" s="2033">
        <f t="shared" si="5"/>
        <v>11074971</v>
      </c>
      <c r="W23" s="2033">
        <v>0</v>
      </c>
      <c r="X23" s="2033">
        <f>SUM(X7,X8,X3,X6,X11,X12,X15,X22)</f>
        <v>0</v>
      </c>
      <c r="Y23" s="2032">
        <f t="shared" si="0"/>
        <v>42722860</v>
      </c>
      <c r="Z23" s="75"/>
      <c r="AA23" s="75"/>
    </row>
    <row r="24" spans="1:27" ht="22.5" customHeight="1">
      <c r="A24" s="2047" t="s">
        <v>397</v>
      </c>
      <c r="B24" s="2048" t="s">
        <v>95</v>
      </c>
      <c r="C24" s="2049" t="s">
        <v>95</v>
      </c>
      <c r="D24" s="2049" t="s">
        <v>95</v>
      </c>
      <c r="E24" s="2049" t="s">
        <v>95</v>
      </c>
      <c r="F24" s="2049" t="s">
        <v>95</v>
      </c>
      <c r="G24" s="2049" t="s">
        <v>95</v>
      </c>
      <c r="H24" s="2049" t="s">
        <v>95</v>
      </c>
      <c r="I24" s="2049" t="s">
        <v>95</v>
      </c>
      <c r="J24" s="2049" t="s">
        <v>95</v>
      </c>
      <c r="K24" s="2050" t="s">
        <v>95</v>
      </c>
      <c r="L24" s="2049" t="s">
        <v>95</v>
      </c>
      <c r="M24" s="2049" t="s">
        <v>95</v>
      </c>
      <c r="N24" s="2049" t="s">
        <v>95</v>
      </c>
      <c r="O24" s="2049" t="s">
        <v>95</v>
      </c>
      <c r="P24" s="2049" t="s">
        <v>95</v>
      </c>
      <c r="Q24" s="2049" t="s">
        <v>95</v>
      </c>
      <c r="R24" s="2049" t="s">
        <v>95</v>
      </c>
      <c r="S24" s="2049" t="s">
        <v>95</v>
      </c>
      <c r="T24" s="2049" t="s">
        <v>95</v>
      </c>
      <c r="U24" s="2049" t="s">
        <v>95</v>
      </c>
      <c r="V24" s="2049" t="s">
        <v>95</v>
      </c>
      <c r="W24" s="2051">
        <v>119500</v>
      </c>
      <c r="X24" s="2052" t="s">
        <v>95</v>
      </c>
      <c r="Y24" s="2053">
        <f t="shared" si="0"/>
        <v>119500</v>
      </c>
      <c r="Z24" s="75"/>
      <c r="AA24" s="75"/>
    </row>
    <row r="25" spans="1:27" ht="22.5" customHeight="1" thickBot="1">
      <c r="A25" s="2054" t="s">
        <v>398</v>
      </c>
      <c r="B25" s="2055" t="s">
        <v>95</v>
      </c>
      <c r="C25" s="2056" t="s">
        <v>95</v>
      </c>
      <c r="D25" s="2056" t="s">
        <v>95</v>
      </c>
      <c r="E25" s="2056" t="s">
        <v>95</v>
      </c>
      <c r="F25" s="2056" t="s">
        <v>95</v>
      </c>
      <c r="G25" s="2056" t="s">
        <v>95</v>
      </c>
      <c r="H25" s="2056" t="s">
        <v>95</v>
      </c>
      <c r="I25" s="2056" t="s">
        <v>95</v>
      </c>
      <c r="J25" s="2056" t="s">
        <v>95</v>
      </c>
      <c r="K25" s="2057" t="s">
        <v>95</v>
      </c>
      <c r="L25" s="2056" t="s">
        <v>95</v>
      </c>
      <c r="M25" s="2056" t="s">
        <v>95</v>
      </c>
      <c r="N25" s="2056" t="s">
        <v>95</v>
      </c>
      <c r="O25" s="2056" t="s">
        <v>95</v>
      </c>
      <c r="P25" s="2056" t="s">
        <v>95</v>
      </c>
      <c r="Q25" s="2056" t="s">
        <v>95</v>
      </c>
      <c r="R25" s="2056" t="s">
        <v>95</v>
      </c>
      <c r="S25" s="2056" t="s">
        <v>95</v>
      </c>
      <c r="T25" s="2056" t="s">
        <v>95</v>
      </c>
      <c r="U25" s="2056" t="s">
        <v>95</v>
      </c>
      <c r="V25" s="2056" t="s">
        <v>95</v>
      </c>
      <c r="W25" s="2057" t="s">
        <v>95</v>
      </c>
      <c r="X25" s="1982">
        <v>134825</v>
      </c>
      <c r="Y25" s="2045">
        <f t="shared" si="0"/>
        <v>134825</v>
      </c>
      <c r="Z25" s="75"/>
      <c r="AA25" s="75"/>
    </row>
    <row r="26" spans="1:27" ht="22.5" customHeight="1" thickBot="1">
      <c r="A26" s="2054" t="s">
        <v>387</v>
      </c>
      <c r="B26" s="2058">
        <f t="shared" ref="B26:W26" si="6">SUM(B23:B24)</f>
        <v>1008206</v>
      </c>
      <c r="C26" s="1981">
        <f t="shared" si="6"/>
        <v>1103928</v>
      </c>
      <c r="D26" s="1980">
        <f t="shared" si="6"/>
        <v>3087631</v>
      </c>
      <c r="E26" s="1981">
        <f t="shared" si="6"/>
        <v>1824124</v>
      </c>
      <c r="F26" s="1980">
        <f t="shared" si="6"/>
        <v>3386791</v>
      </c>
      <c r="G26" s="1980">
        <f t="shared" si="6"/>
        <v>121014</v>
      </c>
      <c r="H26" s="1980">
        <f t="shared" si="6"/>
        <v>2360397</v>
      </c>
      <c r="I26" s="1980">
        <f t="shared" si="6"/>
        <v>176581</v>
      </c>
      <c r="J26" s="1980">
        <f t="shared" si="6"/>
        <v>6761345</v>
      </c>
      <c r="K26" s="1980">
        <f t="shared" si="6"/>
        <v>240504</v>
      </c>
      <c r="L26" s="1980">
        <f t="shared" si="6"/>
        <v>1283202</v>
      </c>
      <c r="M26" s="1980">
        <f t="shared" si="6"/>
        <v>404291</v>
      </c>
      <c r="N26" s="1980">
        <f t="shared" si="6"/>
        <v>454634</v>
      </c>
      <c r="O26" s="1980">
        <f t="shared" si="6"/>
        <v>173024</v>
      </c>
      <c r="P26" s="1980">
        <f t="shared" si="6"/>
        <v>339861</v>
      </c>
      <c r="Q26" s="1980">
        <f t="shared" si="6"/>
        <v>377485</v>
      </c>
      <c r="R26" s="1980">
        <f t="shared" si="6"/>
        <v>350826</v>
      </c>
      <c r="S26" s="1980">
        <f t="shared" si="6"/>
        <v>445659</v>
      </c>
      <c r="T26" s="1980">
        <f t="shared" si="6"/>
        <v>6298599</v>
      </c>
      <c r="U26" s="1980">
        <f t="shared" si="6"/>
        <v>1449787</v>
      </c>
      <c r="V26" s="1980">
        <f t="shared" si="6"/>
        <v>11074971</v>
      </c>
      <c r="W26" s="1980">
        <f t="shared" si="6"/>
        <v>119500</v>
      </c>
      <c r="X26" s="1980">
        <f>SUM(X23:X25)</f>
        <v>134825</v>
      </c>
      <c r="Y26" s="2059">
        <f t="shared" si="0"/>
        <v>42977185</v>
      </c>
      <c r="Z26" s="75"/>
      <c r="AA26" s="75"/>
    </row>
    <row r="27" spans="1:27" ht="0.75" customHeight="1"/>
    <row r="28" spans="1:27">
      <c r="A28" s="289" t="s">
        <v>443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1"/>
    </row>
    <row r="29" spans="1:27" ht="33.75">
      <c r="D29" s="292"/>
      <c r="E29" s="2981"/>
      <c r="F29" s="2981"/>
      <c r="G29" s="2981"/>
      <c r="H29" s="2981"/>
      <c r="I29" s="2981"/>
      <c r="T29" s="75"/>
      <c r="Y29" s="75"/>
    </row>
    <row r="30" spans="1:27">
      <c r="Y30" s="75"/>
    </row>
  </sheetData>
  <mergeCells count="3">
    <mergeCell ref="E29:I29"/>
    <mergeCell ref="A1:L1"/>
    <mergeCell ref="M1:Y1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5" firstPageNumber="44" fitToHeight="2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</sheetPr>
  <dimension ref="A1:Y20"/>
  <sheetViews>
    <sheetView rightToLeft="1" zoomScaleNormal="100" zoomScaleSheetLayoutView="82" workbookViewId="0">
      <selection sqref="A1:G13"/>
    </sheetView>
  </sheetViews>
  <sheetFormatPr defaultColWidth="7" defaultRowHeight="15.75"/>
  <cols>
    <col min="1" max="1" width="16.375" style="19" customWidth="1"/>
    <col min="2" max="7" width="12.125" style="19" customWidth="1"/>
    <col min="8" max="8" width="7" style="19"/>
    <col min="9" max="25" width="5.75" style="19" customWidth="1"/>
    <col min="26" max="16384" width="7" style="19"/>
  </cols>
  <sheetData>
    <row r="1" spans="1:25" ht="35.25" customHeight="1">
      <c r="A1" s="2984" t="s">
        <v>445</v>
      </c>
      <c r="B1" s="2984"/>
      <c r="C1" s="2984"/>
      <c r="D1" s="2984"/>
      <c r="E1" s="2984"/>
      <c r="F1" s="2984"/>
      <c r="G1" s="2984"/>
    </row>
    <row r="2" spans="1:25" ht="21.75" thickBot="1">
      <c r="A2" s="2985" t="s">
        <v>446</v>
      </c>
      <c r="B2" s="2985"/>
      <c r="C2" s="2985"/>
      <c r="D2" s="2985"/>
      <c r="E2" s="2985"/>
      <c r="F2" s="2985"/>
      <c r="G2" s="2985"/>
    </row>
    <row r="3" spans="1:25" ht="45.75" customHeight="1" thickBot="1">
      <c r="A3" s="2060" t="s">
        <v>1</v>
      </c>
      <c r="B3" s="2061">
        <v>1397</v>
      </c>
      <c r="C3" s="2061">
        <v>1398</v>
      </c>
      <c r="D3" s="2061">
        <v>1399</v>
      </c>
      <c r="E3" s="2062">
        <v>1400</v>
      </c>
      <c r="F3" s="2063">
        <v>1401</v>
      </c>
      <c r="G3" s="2063">
        <v>1402</v>
      </c>
    </row>
    <row r="4" spans="1:25" ht="33.75" customHeight="1">
      <c r="A4" s="2064" t="s">
        <v>418</v>
      </c>
      <c r="B4" s="2065">
        <v>3725</v>
      </c>
      <c r="C4" s="2065">
        <v>3994</v>
      </c>
      <c r="D4" s="2065">
        <v>4540</v>
      </c>
      <c r="E4" s="2066">
        <v>4537.348</v>
      </c>
      <c r="F4" s="2067">
        <v>4452.107</v>
      </c>
      <c r="G4" s="2067">
        <f>'44'!Y3/1000</f>
        <v>4062.9670000000001</v>
      </c>
    </row>
    <row r="5" spans="1:25" ht="33.75" customHeight="1">
      <c r="A5" s="2064" t="s">
        <v>420</v>
      </c>
      <c r="B5" s="2068">
        <v>36315</v>
      </c>
      <c r="C5" s="2068">
        <v>33579</v>
      </c>
      <c r="D5" s="2068">
        <v>33658.436000000002</v>
      </c>
      <c r="E5" s="2069">
        <v>29011.115000000002</v>
      </c>
      <c r="F5" s="2070">
        <v>27758.35</v>
      </c>
      <c r="G5" s="2070">
        <f>('44'!Y6+'44'!Y7+'44'!Y8)/1000</f>
        <v>27238.928</v>
      </c>
    </row>
    <row r="6" spans="1:25" ht="33.75" customHeight="1">
      <c r="A6" s="2064" t="s">
        <v>422</v>
      </c>
      <c r="B6" s="2068">
        <v>1587</v>
      </c>
      <c r="C6" s="2068">
        <v>1614</v>
      </c>
      <c r="D6" s="2068">
        <v>1964.355</v>
      </c>
      <c r="E6" s="2069">
        <v>1989.932</v>
      </c>
      <c r="F6" s="2070">
        <v>2000.4190000000001</v>
      </c>
      <c r="G6" s="2070">
        <f>'44'!Y11/1000</f>
        <v>1936.5039999999999</v>
      </c>
      <c r="X6" s="294"/>
      <c r="Y6" s="294"/>
    </row>
    <row r="7" spans="1:25" ht="33.75" customHeight="1">
      <c r="A7" s="2064" t="s">
        <v>424</v>
      </c>
      <c r="B7" s="2068">
        <v>989</v>
      </c>
      <c r="C7" s="2068">
        <v>875</v>
      </c>
      <c r="D7" s="2068">
        <v>1021.818</v>
      </c>
      <c r="E7" s="2071">
        <v>988.53200000000004</v>
      </c>
      <c r="F7" s="2070">
        <v>871.20500000000004</v>
      </c>
      <c r="G7" s="2070">
        <f>'44'!Y12/1000</f>
        <v>776.16200000000003</v>
      </c>
    </row>
    <row r="8" spans="1:25" ht="33.75" customHeight="1">
      <c r="A8" s="2064" t="s">
        <v>426</v>
      </c>
      <c r="B8" s="2068">
        <v>4138</v>
      </c>
      <c r="C8" s="2068">
        <v>4129</v>
      </c>
      <c r="D8" s="2068">
        <v>4374.3019999999997</v>
      </c>
      <c r="E8" s="2069">
        <v>4223.1049999999996</v>
      </c>
      <c r="F8" s="2070">
        <v>3773.24</v>
      </c>
      <c r="G8" s="2070">
        <f>'44'!Y15/1000</f>
        <v>3281.8969999999999</v>
      </c>
    </row>
    <row r="9" spans="1:25" ht="33.75" customHeight="1">
      <c r="A9" s="2064" t="s">
        <v>428</v>
      </c>
      <c r="B9" s="2068">
        <v>3566</v>
      </c>
      <c r="C9" s="2068">
        <v>2550</v>
      </c>
      <c r="D9" s="2068">
        <v>4797.6769999999997</v>
      </c>
      <c r="E9" s="2069">
        <v>5896.7599999999939</v>
      </c>
      <c r="F9" s="2070">
        <v>5316.6769999999997</v>
      </c>
      <c r="G9" s="2070">
        <f>'44'!Y22/1000</f>
        <v>5426.402</v>
      </c>
    </row>
    <row r="10" spans="1:25" ht="33.75" customHeight="1" thickBot="1">
      <c r="A10" s="2072" t="s">
        <v>431</v>
      </c>
      <c r="B10" s="2057">
        <v>158</v>
      </c>
      <c r="C10" s="2057">
        <v>235</v>
      </c>
      <c r="D10" s="2057">
        <v>207.68</v>
      </c>
      <c r="E10" s="2073">
        <v>265.65499999999997</v>
      </c>
      <c r="F10" s="2074">
        <v>266.86500000000001</v>
      </c>
      <c r="G10" s="2074">
        <f>('44'!Y24+'44'!Y25)/1000</f>
        <v>254.32499999999999</v>
      </c>
      <c r="I10" s="75">
        <f>+F9-F10</f>
        <v>5049.8119999999999</v>
      </c>
    </row>
    <row r="11" spans="1:25" ht="40.5" customHeight="1" thickBot="1">
      <c r="A11" s="2072" t="s">
        <v>49</v>
      </c>
      <c r="B11" s="2057">
        <f t="shared" ref="B11:G11" si="0">SUM(B4:B10)</f>
        <v>50478</v>
      </c>
      <c r="C11" s="2075">
        <f t="shared" si="0"/>
        <v>46976</v>
      </c>
      <c r="D11" s="2055">
        <f t="shared" si="0"/>
        <v>50564.268000000004</v>
      </c>
      <c r="E11" s="2075">
        <f t="shared" si="0"/>
        <v>46912.447</v>
      </c>
      <c r="F11" s="2074">
        <f t="shared" si="0"/>
        <v>44438.86299999999</v>
      </c>
      <c r="G11" s="2074">
        <f t="shared" si="0"/>
        <v>42977.18499999999</v>
      </c>
    </row>
    <row r="12" spans="1:25" s="295" customFormat="1" ht="20.25" customHeight="1">
      <c r="A12" s="2982" t="s">
        <v>447</v>
      </c>
      <c r="B12" s="2982"/>
      <c r="C12" s="2982"/>
      <c r="D12" s="2982"/>
      <c r="E12" s="2982"/>
      <c r="F12" s="2982"/>
    </row>
    <row r="13" spans="1:25" s="295" customFormat="1" ht="20.25" customHeight="1">
      <c r="A13" s="2982" t="s">
        <v>443</v>
      </c>
      <c r="B13" s="2982"/>
      <c r="C13" s="2982"/>
      <c r="D13" s="2982"/>
      <c r="E13" s="2982"/>
      <c r="F13" s="2982"/>
      <c r="G13" s="296"/>
    </row>
    <row r="14" spans="1:25" ht="25.5" customHeight="1">
      <c r="A14" s="2983"/>
      <c r="B14" s="2983"/>
      <c r="C14" s="2983"/>
      <c r="D14" s="2983"/>
      <c r="E14" s="2983"/>
      <c r="F14" s="2983"/>
      <c r="G14" s="293"/>
    </row>
    <row r="15" spans="1:25" ht="25.5" customHeight="1">
      <c r="F15" s="75">
        <v>46912.447</v>
      </c>
    </row>
    <row r="16" spans="1:25" ht="25.5" customHeight="1">
      <c r="F16" s="75">
        <f>SUM(F4:F8)</f>
        <v>38855.320999999996</v>
      </c>
      <c r="G16" s="75">
        <f>+F15-F16</f>
        <v>8057.1260000000038</v>
      </c>
    </row>
    <row r="17" spans="2:7" ht="25.5" customHeight="1">
      <c r="B17" s="19">
        <v>34924</v>
      </c>
      <c r="C17" s="19">
        <v>35647.334999999999</v>
      </c>
      <c r="D17" s="19">
        <v>40282</v>
      </c>
      <c r="E17" s="19">
        <v>46766</v>
      </c>
      <c r="F17" s="75">
        <v>50478</v>
      </c>
    </row>
    <row r="18" spans="2:7" ht="25.5" customHeight="1">
      <c r="G18" s="297"/>
    </row>
    <row r="19" spans="2:7" ht="33.75" customHeight="1"/>
    <row r="20" spans="2:7" ht="7.5" customHeight="1"/>
  </sheetData>
  <mergeCells count="5">
    <mergeCell ref="A12:F12"/>
    <mergeCell ref="A13:F13"/>
    <mergeCell ref="A14:F14"/>
    <mergeCell ref="A1:G1"/>
    <mergeCell ref="A2:G2"/>
  </mergeCells>
  <printOptions horizontalCentered="1"/>
  <pageMargins left="0.59055118110236227" right="0.59055118110236227" top="0.74803149606299213" bottom="0.74803149606299213" header="0" footer="0"/>
  <pageSetup paperSize="9" firstPageNumber="46" pageOrder="overThenDown" orientation="portrait" r:id="rId1"/>
  <headerFooter alignWithMargins="0">
    <oddFooter xml:space="preserve">&amp;C&amp;"B Roya,Bold"&amp;12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AT52"/>
  <sheetViews>
    <sheetView rightToLeft="1" workbookViewId="0">
      <pane xSplit="1" ySplit="3" topLeftCell="B4" activePane="bottomRight" state="frozen"/>
      <selection activeCell="A17" sqref="A17:Y17"/>
      <selection pane="topRight" activeCell="A17" sqref="A17:Y17"/>
      <selection pane="bottomLeft" activeCell="A17" sqref="A17:Y17"/>
      <selection pane="bottomRight" sqref="A1:Y17"/>
    </sheetView>
  </sheetViews>
  <sheetFormatPr defaultColWidth="9" defaultRowHeight="15.75"/>
  <cols>
    <col min="1" max="1" width="6.25" style="19" customWidth="1"/>
    <col min="2" max="2" width="8.125" style="19" bestFit="1" customWidth="1"/>
    <col min="3" max="3" width="8.375" style="19" bestFit="1" customWidth="1"/>
    <col min="4" max="4" width="7.125" style="19" bestFit="1" customWidth="1"/>
    <col min="5" max="8" width="6.625" style="19" bestFit="1" customWidth="1"/>
    <col min="9" max="9" width="6.25" style="19" bestFit="1" customWidth="1"/>
    <col min="10" max="10" width="7.25" style="19" bestFit="1" customWidth="1"/>
    <col min="11" max="12" width="6.625" style="19" bestFit="1" customWidth="1"/>
    <col min="13" max="14" width="7.875" style="19" bestFit="1" customWidth="1"/>
    <col min="15" max="16" width="6.625" style="19" bestFit="1" customWidth="1"/>
    <col min="17" max="18" width="7.875" style="19" bestFit="1" customWidth="1"/>
    <col min="19" max="19" width="6.625" style="19" bestFit="1" customWidth="1"/>
    <col min="20" max="20" width="6.125" style="19" bestFit="1" customWidth="1"/>
    <col min="21" max="21" width="7.25" style="19" bestFit="1" customWidth="1"/>
    <col min="22" max="22" width="7.375" style="19" bestFit="1" customWidth="1"/>
    <col min="23" max="24" width="6.625" style="19" bestFit="1" customWidth="1"/>
    <col min="25" max="25" width="8.75" style="19" bestFit="1" customWidth="1"/>
    <col min="26" max="26" width="9" style="19" customWidth="1"/>
    <col min="27" max="27" width="10.125" style="19" customWidth="1"/>
    <col min="28" max="28" width="9" style="19" customWidth="1"/>
    <col min="29" max="29" width="8.375" style="19" customWidth="1"/>
    <col min="30" max="30" width="9" style="19" customWidth="1"/>
    <col min="31" max="31" width="10.125" style="19" customWidth="1"/>
    <col min="32" max="36" width="9" style="19" customWidth="1"/>
    <col min="37" max="37" width="9.75" style="19" customWidth="1"/>
    <col min="38" max="38" width="10.375" style="19" customWidth="1"/>
    <col min="39" max="39" width="10.25" style="19" customWidth="1"/>
    <col min="40" max="40" width="7.875" style="19" customWidth="1"/>
    <col min="41" max="41" width="7.375" style="19" customWidth="1"/>
    <col min="42" max="43" width="10.25" style="19" customWidth="1"/>
    <col min="44" max="44" width="7.875" style="19" customWidth="1"/>
    <col min="45" max="45" width="9" style="19"/>
    <col min="46" max="46" width="10.75" style="19" customWidth="1"/>
    <col min="47" max="16384" width="9" style="19"/>
  </cols>
  <sheetData>
    <row r="1" spans="1:46" ht="22.5" customHeight="1">
      <c r="A1" s="2984" t="s">
        <v>2021</v>
      </c>
      <c r="B1" s="2984"/>
      <c r="C1" s="2984"/>
      <c r="D1" s="2984"/>
      <c r="E1" s="2984"/>
      <c r="F1" s="2984"/>
      <c r="G1" s="2984"/>
      <c r="H1" s="2984"/>
      <c r="I1" s="2984"/>
      <c r="J1" s="2984"/>
      <c r="K1" s="2984"/>
      <c r="L1" s="2984"/>
      <c r="M1" s="2984"/>
      <c r="N1" s="2984"/>
      <c r="O1" s="2984"/>
      <c r="P1" s="2984"/>
      <c r="Q1" s="2984"/>
      <c r="R1" s="2984"/>
      <c r="S1" s="2984"/>
      <c r="T1" s="2984"/>
      <c r="U1" s="2984"/>
      <c r="V1" s="2984"/>
      <c r="W1" s="2984"/>
      <c r="X1" s="2984"/>
      <c r="Y1" s="2984"/>
      <c r="AB1" s="2986"/>
      <c r="AC1" s="2986"/>
      <c r="AD1" s="2986"/>
      <c r="AE1" s="2986"/>
      <c r="AF1" s="2986"/>
      <c r="AG1" s="2986"/>
      <c r="AH1" s="2986"/>
      <c r="AI1" s="2986"/>
      <c r="AJ1" s="2986"/>
      <c r="AK1" s="2986"/>
      <c r="AL1" s="2986"/>
      <c r="AM1" s="2986"/>
      <c r="AN1" s="2986"/>
      <c r="AO1" s="2986"/>
      <c r="AP1" s="2986"/>
      <c r="AQ1" s="2986"/>
      <c r="AR1" s="2986"/>
    </row>
    <row r="2" spans="1:46" ht="18.75" customHeight="1" thickBot="1">
      <c r="A2" s="2987" t="s">
        <v>306</v>
      </c>
      <c r="B2" s="2987"/>
      <c r="C2" s="2987"/>
      <c r="D2" s="2987"/>
      <c r="E2" s="2987"/>
      <c r="F2" s="2987"/>
      <c r="G2" s="2987"/>
      <c r="H2" s="2987"/>
      <c r="I2" s="2987"/>
      <c r="J2" s="2987"/>
      <c r="K2" s="2987"/>
      <c r="L2" s="2987"/>
      <c r="M2" s="2987"/>
      <c r="N2" s="2987"/>
      <c r="O2" s="2987"/>
      <c r="P2" s="2987"/>
      <c r="Q2" s="2987"/>
      <c r="R2" s="2987"/>
      <c r="S2" s="2987"/>
      <c r="T2" s="2987"/>
      <c r="U2" s="2987"/>
      <c r="V2" s="2987"/>
      <c r="W2" s="2987"/>
      <c r="X2" s="2987"/>
      <c r="Y2" s="2987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2"/>
      <c r="AT2" s="22"/>
    </row>
    <row r="3" spans="1:46" s="299" customFormat="1" ht="57.75" customHeight="1" thickBot="1">
      <c r="A3" s="1959" t="s">
        <v>1</v>
      </c>
      <c r="B3" s="2076" t="s">
        <v>68</v>
      </c>
      <c r="C3" s="1955" t="s">
        <v>69</v>
      </c>
      <c r="D3" s="1955" t="s">
        <v>70</v>
      </c>
      <c r="E3" s="1955" t="s">
        <v>71</v>
      </c>
      <c r="F3" s="1955" t="s">
        <v>72</v>
      </c>
      <c r="G3" s="1955" t="s">
        <v>73</v>
      </c>
      <c r="H3" s="1955" t="s">
        <v>400</v>
      </c>
      <c r="I3" s="1955" t="s">
        <v>401</v>
      </c>
      <c r="J3" s="1955" t="s">
        <v>76</v>
      </c>
      <c r="K3" s="1955" t="s">
        <v>77</v>
      </c>
      <c r="L3" s="1955" t="s">
        <v>78</v>
      </c>
      <c r="M3" s="1955" t="s">
        <v>79</v>
      </c>
      <c r="N3" s="1955" t="s">
        <v>402</v>
      </c>
      <c r="O3" s="1955" t="s">
        <v>403</v>
      </c>
      <c r="P3" s="1955" t="s">
        <v>82</v>
      </c>
      <c r="Q3" s="1955" t="s">
        <v>83</v>
      </c>
      <c r="R3" s="1956" t="s">
        <v>84</v>
      </c>
      <c r="S3" s="1956" t="s">
        <v>86</v>
      </c>
      <c r="T3" s="1956" t="s">
        <v>85</v>
      </c>
      <c r="U3" s="1956" t="s">
        <v>87</v>
      </c>
      <c r="V3" s="1956" t="s">
        <v>88</v>
      </c>
      <c r="W3" s="1956" t="s">
        <v>397</v>
      </c>
      <c r="X3" s="1958" t="s">
        <v>90</v>
      </c>
      <c r="Y3" s="1959" t="s">
        <v>49</v>
      </c>
      <c r="AA3" s="300"/>
      <c r="AB3" s="300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</row>
    <row r="4" spans="1:46" ht="30" customHeight="1">
      <c r="A4" s="2077" t="s">
        <v>37</v>
      </c>
      <c r="B4" s="2078">
        <v>112025.058</v>
      </c>
      <c r="C4" s="2078">
        <v>70434.251000000004</v>
      </c>
      <c r="D4" s="2078">
        <v>75515.275999999998</v>
      </c>
      <c r="E4" s="2078">
        <v>67682.679000000004</v>
      </c>
      <c r="F4" s="2078">
        <v>27620.542000000001</v>
      </c>
      <c r="G4" s="2078">
        <v>26259.653999999999</v>
      </c>
      <c r="H4" s="2078">
        <v>70222.861000000004</v>
      </c>
      <c r="I4" s="2078">
        <v>6104.1620000000003</v>
      </c>
      <c r="J4" s="2078">
        <v>61162.072999999997</v>
      </c>
      <c r="K4" s="2078">
        <v>40954.288999999997</v>
      </c>
      <c r="L4" s="2078">
        <v>47137.737000000001</v>
      </c>
      <c r="M4" s="2078">
        <v>402320.08899999998</v>
      </c>
      <c r="N4" s="2078">
        <v>469586.88400000002</v>
      </c>
      <c r="O4" s="2078">
        <v>64426.654000000002</v>
      </c>
      <c r="P4" s="2078">
        <v>17482.752</v>
      </c>
      <c r="Q4" s="2078">
        <v>557289.79700000002</v>
      </c>
      <c r="R4" s="2078">
        <v>364471.84899999999</v>
      </c>
      <c r="S4" s="2078">
        <v>78622.555999999997</v>
      </c>
      <c r="T4" s="2078">
        <v>3698.8240000000001</v>
      </c>
      <c r="U4" s="2078">
        <v>70820.879000000001</v>
      </c>
      <c r="V4" s="2078">
        <v>3708.5239999999999</v>
      </c>
      <c r="W4" s="2078">
        <v>10054</v>
      </c>
      <c r="X4" s="2078">
        <v>13117.5</v>
      </c>
      <c r="Y4" s="2079">
        <f t="shared" ref="Y4:Y15" si="0">SUM(B4:X4)</f>
        <v>2660718.8900000006</v>
      </c>
      <c r="Z4" s="263"/>
      <c r="AA4" s="302"/>
      <c r="AB4" s="303"/>
      <c r="AC4" s="263"/>
      <c r="AD4" s="304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</row>
    <row r="5" spans="1:46" ht="30" customHeight="1">
      <c r="A5" s="2080" t="s">
        <v>38</v>
      </c>
      <c r="B5" s="2078">
        <v>105725.969</v>
      </c>
      <c r="C5" s="2078">
        <v>67069.417000000001</v>
      </c>
      <c r="D5" s="2078">
        <v>73499.298999999999</v>
      </c>
      <c r="E5" s="2078">
        <v>73661.342000000004</v>
      </c>
      <c r="F5" s="2078">
        <v>35280.186999999998</v>
      </c>
      <c r="G5" s="2078">
        <v>31562.718000000001</v>
      </c>
      <c r="H5" s="2078">
        <v>70696.100999999995</v>
      </c>
      <c r="I5" s="2078">
        <v>6712.7889999999998</v>
      </c>
      <c r="J5" s="2078">
        <v>59167.464999999997</v>
      </c>
      <c r="K5" s="2078">
        <v>29569.262999999999</v>
      </c>
      <c r="L5" s="2078">
        <v>34342.913999999997</v>
      </c>
      <c r="M5" s="2078">
        <v>379166.55300000001</v>
      </c>
      <c r="N5" s="2078">
        <v>453117.40500000003</v>
      </c>
      <c r="O5" s="2078">
        <v>64715.786</v>
      </c>
      <c r="P5" s="2078">
        <v>16286.15</v>
      </c>
      <c r="Q5" s="2078">
        <v>480636.44900000002</v>
      </c>
      <c r="R5" s="2078">
        <v>357496.70699999999</v>
      </c>
      <c r="S5" s="2078">
        <v>75358.962</v>
      </c>
      <c r="T5" s="2078">
        <v>3494.89</v>
      </c>
      <c r="U5" s="2078">
        <v>75798.823000000004</v>
      </c>
      <c r="V5" s="2078">
        <v>1691</v>
      </c>
      <c r="W5" s="2078">
        <v>10670</v>
      </c>
      <c r="X5" s="2078">
        <v>11605</v>
      </c>
      <c r="Y5" s="2081">
        <f t="shared" si="0"/>
        <v>2517325.1889999998</v>
      </c>
      <c r="Z5" s="263"/>
      <c r="AA5" s="302">
        <f>SUM(Y4:Y6)</f>
        <v>7771152.8149999995</v>
      </c>
      <c r="AB5" s="303"/>
      <c r="AC5" s="263"/>
      <c r="AD5" s="304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</row>
    <row r="6" spans="1:46" ht="37.5" customHeight="1">
      <c r="A6" s="2080" t="s">
        <v>39</v>
      </c>
      <c r="B6" s="2078">
        <v>105252.356</v>
      </c>
      <c r="C6" s="2078">
        <v>76906.785000000003</v>
      </c>
      <c r="D6" s="2078">
        <v>84162.437000000005</v>
      </c>
      <c r="E6" s="2078">
        <v>80728.706999999995</v>
      </c>
      <c r="F6" s="2078">
        <v>28317.914000000001</v>
      </c>
      <c r="G6" s="2078">
        <v>32027.298999999999</v>
      </c>
      <c r="H6" s="2078">
        <v>92659.054000000004</v>
      </c>
      <c r="I6" s="2078">
        <v>7377.6490000000003</v>
      </c>
      <c r="J6" s="2078">
        <v>80898.932000000001</v>
      </c>
      <c r="K6" s="2078">
        <v>35562.864000000001</v>
      </c>
      <c r="L6" s="2078">
        <v>39612.824999999997</v>
      </c>
      <c r="M6" s="2078">
        <v>396729.533</v>
      </c>
      <c r="N6" s="2078">
        <v>465524.86099999998</v>
      </c>
      <c r="O6" s="2078">
        <v>68169.873000000007</v>
      </c>
      <c r="P6" s="2078">
        <v>15926.699000000001</v>
      </c>
      <c r="Q6" s="2078">
        <v>456801.34100000001</v>
      </c>
      <c r="R6" s="2078">
        <v>324509.25900000002</v>
      </c>
      <c r="S6" s="2078">
        <v>86118.566999999995</v>
      </c>
      <c r="T6" s="2078">
        <v>6033.2860000000001</v>
      </c>
      <c r="U6" s="2078">
        <v>83953.729000000007</v>
      </c>
      <c r="V6" s="2078">
        <v>2624.7660000000001</v>
      </c>
      <c r="W6" s="2078">
        <v>10340</v>
      </c>
      <c r="X6" s="2078">
        <v>12870</v>
      </c>
      <c r="Y6" s="2081">
        <f t="shared" si="0"/>
        <v>2593108.7359999991</v>
      </c>
      <c r="Z6" s="263"/>
      <c r="AA6" s="302"/>
      <c r="AB6" s="303"/>
      <c r="AC6" s="263"/>
      <c r="AD6" s="304"/>
      <c r="AE6" s="263"/>
      <c r="AF6" s="263"/>
      <c r="AG6" s="305"/>
      <c r="AH6" s="305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</row>
    <row r="7" spans="1:46" ht="30" customHeight="1">
      <c r="A7" s="2080" t="s">
        <v>40</v>
      </c>
      <c r="B7" s="2078">
        <v>94670.945999999996</v>
      </c>
      <c r="C7" s="2078">
        <v>70016.555999999997</v>
      </c>
      <c r="D7" s="2078">
        <v>79186.290999999997</v>
      </c>
      <c r="E7" s="2078">
        <v>66357.743000000002</v>
      </c>
      <c r="F7" s="2078">
        <v>14937.133</v>
      </c>
      <c r="G7" s="2078">
        <v>29719.75</v>
      </c>
      <c r="H7" s="2078">
        <v>61646.116999999998</v>
      </c>
      <c r="I7" s="2078">
        <v>4756.4639999999999</v>
      </c>
      <c r="J7" s="2078">
        <v>60576.559000000001</v>
      </c>
      <c r="K7" s="2078">
        <v>24994.771000000001</v>
      </c>
      <c r="L7" s="2078">
        <v>28884.002</v>
      </c>
      <c r="M7" s="2078">
        <v>355505.408</v>
      </c>
      <c r="N7" s="2078">
        <v>415022.598</v>
      </c>
      <c r="O7" s="2078">
        <v>54707.69</v>
      </c>
      <c r="P7" s="2078">
        <v>12505.151</v>
      </c>
      <c r="Q7" s="2078">
        <v>402756.00099999999</v>
      </c>
      <c r="R7" s="2078">
        <v>289230.07699999999</v>
      </c>
      <c r="S7" s="2078">
        <v>77911.476999999999</v>
      </c>
      <c r="T7" s="2078">
        <v>17116.223000000002</v>
      </c>
      <c r="U7" s="2078">
        <v>80741.764999999999</v>
      </c>
      <c r="V7" s="2078">
        <v>3807.6750000000002</v>
      </c>
      <c r="W7" s="2078">
        <v>10406</v>
      </c>
      <c r="X7" s="2078">
        <v>10972.5</v>
      </c>
      <c r="Y7" s="2081">
        <f t="shared" si="0"/>
        <v>2266428.8970000003</v>
      </c>
      <c r="Z7" s="263"/>
      <c r="AA7" s="302">
        <f>SUM(Y7:Y9)</f>
        <v>7120186.0329999998</v>
      </c>
      <c r="AB7" s="303"/>
      <c r="AC7" s="263"/>
      <c r="AD7" s="304"/>
      <c r="AE7" s="263"/>
      <c r="AF7" s="263"/>
      <c r="AG7" s="305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</row>
    <row r="8" spans="1:46" ht="30" customHeight="1">
      <c r="A8" s="2080" t="s">
        <v>41</v>
      </c>
      <c r="B8" s="2078">
        <v>87908.394</v>
      </c>
      <c r="C8" s="2078">
        <v>67044.414000000004</v>
      </c>
      <c r="D8" s="2078">
        <v>81386.082999999999</v>
      </c>
      <c r="E8" s="2078">
        <v>66775.850999999995</v>
      </c>
      <c r="F8" s="2078">
        <v>15492.754999999999</v>
      </c>
      <c r="G8" s="2078">
        <v>36344.978000000003</v>
      </c>
      <c r="H8" s="2078">
        <v>85081.365999999995</v>
      </c>
      <c r="I8" s="2078">
        <v>5165.1790000000001</v>
      </c>
      <c r="J8" s="2078">
        <v>71162.311000000002</v>
      </c>
      <c r="K8" s="2078">
        <v>23272.839</v>
      </c>
      <c r="L8" s="2078">
        <v>32717.946</v>
      </c>
      <c r="M8" s="2078">
        <v>365752.49200000003</v>
      </c>
      <c r="N8" s="2078">
        <v>414392.91200000001</v>
      </c>
      <c r="O8" s="2078">
        <v>77055.914999999994</v>
      </c>
      <c r="P8" s="2078">
        <v>16190.269</v>
      </c>
      <c r="Q8" s="2078">
        <v>358916.26699999999</v>
      </c>
      <c r="R8" s="2078">
        <v>351167.201</v>
      </c>
      <c r="S8" s="2078">
        <v>74068.232999999993</v>
      </c>
      <c r="T8" s="2078">
        <v>8495.3860000000004</v>
      </c>
      <c r="U8" s="2078">
        <v>75654.263999999996</v>
      </c>
      <c r="V8" s="2078">
        <v>12317.162</v>
      </c>
      <c r="W8" s="2078">
        <v>11044</v>
      </c>
      <c r="X8" s="2078">
        <v>11880</v>
      </c>
      <c r="Y8" s="2081">
        <f t="shared" si="0"/>
        <v>2349286.2170000002</v>
      </c>
      <c r="Z8" s="263"/>
      <c r="AA8" s="302"/>
      <c r="AB8" s="303"/>
      <c r="AC8" s="263"/>
      <c r="AD8" s="304"/>
      <c r="AE8" s="263"/>
      <c r="AF8" s="263"/>
      <c r="AG8" s="305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</row>
    <row r="9" spans="1:46" ht="30" customHeight="1">
      <c r="A9" s="2080" t="s">
        <v>42</v>
      </c>
      <c r="B9" s="2078">
        <v>80462.679999999993</v>
      </c>
      <c r="C9" s="2078">
        <v>57195.125999999997</v>
      </c>
      <c r="D9" s="2078">
        <f>70728.867-0.193</f>
        <v>70728.673999999999</v>
      </c>
      <c r="E9" s="2078">
        <v>71064.839000000007</v>
      </c>
      <c r="F9" s="2078">
        <v>14546.071</v>
      </c>
      <c r="G9" s="2078">
        <v>29691.453000000001</v>
      </c>
      <c r="H9" s="2078">
        <v>96029.186000000002</v>
      </c>
      <c r="I9" s="2078">
        <v>6545.4189999999999</v>
      </c>
      <c r="J9" s="2078">
        <v>87919.67</v>
      </c>
      <c r="K9" s="2078">
        <v>32240.037</v>
      </c>
      <c r="L9" s="2078">
        <v>43831.542000000001</v>
      </c>
      <c r="M9" s="2078">
        <v>359386.40299999999</v>
      </c>
      <c r="N9" s="2078">
        <v>436016.82199999999</v>
      </c>
      <c r="O9" s="2078">
        <v>65084.161</v>
      </c>
      <c r="P9" s="2078">
        <v>14171.118</v>
      </c>
      <c r="Q9" s="2078">
        <v>473803.84700000001</v>
      </c>
      <c r="R9" s="2078">
        <v>390230.80200000003</v>
      </c>
      <c r="S9" s="2078">
        <v>63007.701999999997</v>
      </c>
      <c r="T9" s="2078">
        <v>8328.1890000000003</v>
      </c>
      <c r="U9" s="2078">
        <v>67898.111999999994</v>
      </c>
      <c r="V9" s="2078">
        <v>12556.566000000001</v>
      </c>
      <c r="W9" s="2078">
        <v>11110</v>
      </c>
      <c r="X9" s="2078">
        <v>12622.5</v>
      </c>
      <c r="Y9" s="2081">
        <f t="shared" si="0"/>
        <v>2504470.9190000002</v>
      </c>
      <c r="Z9" s="263"/>
      <c r="AA9" s="302"/>
      <c r="AB9" s="303"/>
      <c r="AC9" s="263"/>
      <c r="AD9" s="304"/>
      <c r="AE9" s="263"/>
      <c r="AF9" s="263"/>
      <c r="AG9" s="305"/>
      <c r="AH9" s="305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</row>
    <row r="10" spans="1:46" ht="30" customHeight="1">
      <c r="A10" s="2080" t="s">
        <v>43</v>
      </c>
      <c r="B10" s="2078">
        <v>105460.84299999999</v>
      </c>
      <c r="C10" s="2078">
        <v>68991.864000000001</v>
      </c>
      <c r="D10" s="2078">
        <v>84962.32</v>
      </c>
      <c r="E10" s="2078">
        <v>64289.082999999999</v>
      </c>
      <c r="F10" s="2078">
        <v>8213.7880000000005</v>
      </c>
      <c r="G10" s="2078">
        <v>23996.511999999999</v>
      </c>
      <c r="H10" s="2078">
        <v>110807.954</v>
      </c>
      <c r="I10" s="2078">
        <v>5220.2950000000001</v>
      </c>
      <c r="J10" s="2078">
        <v>99740.764999999999</v>
      </c>
      <c r="K10" s="2078">
        <v>27352.562000000002</v>
      </c>
      <c r="L10" s="2078">
        <v>38476.775000000001</v>
      </c>
      <c r="M10" s="2078">
        <v>319144.06800000003</v>
      </c>
      <c r="N10" s="2078">
        <v>441026.739</v>
      </c>
      <c r="O10" s="2078">
        <v>58501.476999999999</v>
      </c>
      <c r="P10" s="2078">
        <v>12272.073</v>
      </c>
      <c r="Q10" s="2078">
        <v>482809.85499999998</v>
      </c>
      <c r="R10" s="2078">
        <v>411747.77600000001</v>
      </c>
      <c r="S10" s="2078">
        <v>76652.304999999993</v>
      </c>
      <c r="T10" s="2078">
        <v>2744.5619999999999</v>
      </c>
      <c r="U10" s="2078">
        <v>68669.684999999998</v>
      </c>
      <c r="V10" s="2078">
        <v>5937.2449999999999</v>
      </c>
      <c r="W10" s="2078">
        <v>10978</v>
      </c>
      <c r="X10" s="2078">
        <v>12980</v>
      </c>
      <c r="Y10" s="2081">
        <f t="shared" si="0"/>
        <v>2540976.5460000001</v>
      </c>
      <c r="Z10" s="263"/>
      <c r="AA10" s="302">
        <f>SUM(Y10:Y12)</f>
        <v>7367039.7999999998</v>
      </c>
      <c r="AB10" s="303"/>
      <c r="AC10" s="263"/>
      <c r="AD10" s="304"/>
      <c r="AE10" s="263"/>
      <c r="AF10" s="263"/>
      <c r="AG10" s="305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</row>
    <row r="11" spans="1:46" ht="30" customHeight="1">
      <c r="A11" s="2080" t="s">
        <v>405</v>
      </c>
      <c r="B11" s="2078">
        <v>100365.95699999999</v>
      </c>
      <c r="C11" s="2078">
        <v>69054.729000000007</v>
      </c>
      <c r="D11" s="2078">
        <v>77138.69</v>
      </c>
      <c r="E11" s="2078">
        <v>67172.956999999995</v>
      </c>
      <c r="F11" s="2078">
        <v>20548.407999999999</v>
      </c>
      <c r="G11" s="2078">
        <v>20434.323</v>
      </c>
      <c r="H11" s="2078">
        <v>97171.998999999996</v>
      </c>
      <c r="I11" s="2078">
        <v>7112.2039999999997</v>
      </c>
      <c r="J11" s="2078">
        <v>84950.444000000003</v>
      </c>
      <c r="K11" s="2078">
        <v>26938.734</v>
      </c>
      <c r="L11" s="2078">
        <v>35979.241999999998</v>
      </c>
      <c r="M11" s="2078">
        <v>319255.78499999997</v>
      </c>
      <c r="N11" s="2078">
        <v>429402.42200000002</v>
      </c>
      <c r="O11" s="2078">
        <v>55873.440999999999</v>
      </c>
      <c r="P11" s="2078">
        <v>11071.45</v>
      </c>
      <c r="Q11" s="2078">
        <v>530165.61199999996</v>
      </c>
      <c r="R11" s="2078">
        <v>394713.37900000002</v>
      </c>
      <c r="S11" s="2078">
        <v>78053.850999999995</v>
      </c>
      <c r="T11" s="2078">
        <v>4509.6000000000004</v>
      </c>
      <c r="U11" s="2078">
        <v>68980.192999999999</v>
      </c>
      <c r="V11" s="2078">
        <v>3609.8</v>
      </c>
      <c r="W11" s="2078">
        <v>11594</v>
      </c>
      <c r="X11" s="2078">
        <v>12650</v>
      </c>
      <c r="Y11" s="2081">
        <f t="shared" si="0"/>
        <v>2526747.2199999997</v>
      </c>
      <c r="Z11" s="263"/>
      <c r="AA11" s="302"/>
      <c r="AB11" s="303"/>
      <c r="AC11" s="263"/>
      <c r="AD11" s="304"/>
      <c r="AE11" s="263"/>
      <c r="AF11" s="263"/>
      <c r="AG11" s="305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</row>
    <row r="12" spans="1:46" ht="30" customHeight="1">
      <c r="A12" s="2080" t="s">
        <v>45</v>
      </c>
      <c r="B12" s="2078">
        <v>83834.971000000005</v>
      </c>
      <c r="C12" s="2078">
        <v>54002.146999999997</v>
      </c>
      <c r="D12" s="2078">
        <v>66875.964999999997</v>
      </c>
      <c r="E12" s="2078">
        <v>66950.375</v>
      </c>
      <c r="F12" s="2078">
        <v>24399.716</v>
      </c>
      <c r="G12" s="2078">
        <v>24086.092000000001</v>
      </c>
      <c r="H12" s="2078">
        <v>62736.565999999999</v>
      </c>
      <c r="I12" s="2078">
        <v>5957.982</v>
      </c>
      <c r="J12" s="2078">
        <v>67342.186000000002</v>
      </c>
      <c r="K12" s="2078">
        <v>26957.364000000001</v>
      </c>
      <c r="L12" s="2078">
        <v>38836.754000000001</v>
      </c>
      <c r="M12" s="2078">
        <v>288335.77299999999</v>
      </c>
      <c r="N12" s="2078">
        <v>379242.88699999999</v>
      </c>
      <c r="O12" s="2078">
        <v>53376.353999999999</v>
      </c>
      <c r="P12" s="2078">
        <v>10004.825999999999</v>
      </c>
      <c r="Q12" s="2078">
        <v>479047.79200000002</v>
      </c>
      <c r="R12" s="2078">
        <v>415848.32400000002</v>
      </c>
      <c r="S12" s="2078">
        <v>59963.05</v>
      </c>
      <c r="T12" s="2078">
        <v>2048.866</v>
      </c>
      <c r="U12" s="2078">
        <v>64118.54</v>
      </c>
      <c r="V12" s="2078">
        <v>1402.5039999999999</v>
      </c>
      <c r="W12" s="2078">
        <v>11572</v>
      </c>
      <c r="X12" s="2078">
        <v>12375</v>
      </c>
      <c r="Y12" s="2081">
        <f t="shared" si="0"/>
        <v>2299316.034</v>
      </c>
      <c r="Z12" s="263"/>
      <c r="AA12" s="302"/>
      <c r="AB12" s="303"/>
      <c r="AC12" s="263"/>
      <c r="AD12" s="304"/>
      <c r="AE12" s="263"/>
      <c r="AF12" s="263"/>
      <c r="AG12" s="305"/>
      <c r="AH12" s="306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</row>
    <row r="13" spans="1:46" ht="30" customHeight="1">
      <c r="A13" s="2080" t="s">
        <v>406</v>
      </c>
      <c r="B13" s="2078">
        <v>86226.803</v>
      </c>
      <c r="C13" s="2078">
        <v>55014.917999999998</v>
      </c>
      <c r="D13" s="2078">
        <v>65778.941000000006</v>
      </c>
      <c r="E13" s="2078">
        <v>60981.993999999999</v>
      </c>
      <c r="F13" s="2078">
        <v>23912.217000000001</v>
      </c>
      <c r="G13" s="2078">
        <v>24998.205999999998</v>
      </c>
      <c r="H13" s="2078">
        <v>66857.826000000001</v>
      </c>
      <c r="I13" s="2078">
        <v>5596.0469999999996</v>
      </c>
      <c r="J13" s="2078">
        <v>69394.759000000005</v>
      </c>
      <c r="K13" s="2078">
        <v>25952.585999999999</v>
      </c>
      <c r="L13" s="2078">
        <v>41576.737999999998</v>
      </c>
      <c r="M13" s="2078">
        <v>279002.98599999998</v>
      </c>
      <c r="N13" s="2078">
        <v>390986.27799999999</v>
      </c>
      <c r="O13" s="2078">
        <v>49095.991999999998</v>
      </c>
      <c r="P13" s="2078">
        <v>13940.516</v>
      </c>
      <c r="Q13" s="2078">
        <v>425176.84399999998</v>
      </c>
      <c r="R13" s="2078">
        <v>389014.554</v>
      </c>
      <c r="S13" s="2078">
        <v>62517.749000000003</v>
      </c>
      <c r="T13" s="2078">
        <v>5184.7870000000003</v>
      </c>
      <c r="U13" s="2078">
        <v>61969.307999999997</v>
      </c>
      <c r="V13" s="2078">
        <v>3223.2559999999999</v>
      </c>
      <c r="W13" s="2078">
        <v>11968</v>
      </c>
      <c r="X13" s="2078">
        <v>13200</v>
      </c>
      <c r="Y13" s="2081">
        <f t="shared" si="0"/>
        <v>2231571.3050000002</v>
      </c>
      <c r="Z13" s="263"/>
      <c r="AA13" s="302">
        <f>SUM(Y13:Y15)</f>
        <v>6877255.7760000005</v>
      </c>
      <c r="AB13" s="303"/>
      <c r="AC13" s="263"/>
      <c r="AD13" s="304"/>
      <c r="AE13" s="263"/>
      <c r="AF13" s="263"/>
      <c r="AG13" s="305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</row>
    <row r="14" spans="1:46" ht="30" customHeight="1">
      <c r="A14" s="2080" t="s">
        <v>47</v>
      </c>
      <c r="B14" s="2078">
        <v>88874.842999999993</v>
      </c>
      <c r="C14" s="2078">
        <v>56801.108</v>
      </c>
      <c r="D14" s="2078">
        <v>68995.729000000007</v>
      </c>
      <c r="E14" s="2078">
        <v>66640.308000000005</v>
      </c>
      <c r="F14" s="2078">
        <v>22520.155999999999</v>
      </c>
      <c r="G14" s="2078">
        <v>35402.398999999998</v>
      </c>
      <c r="H14" s="2078">
        <v>58630.667999999998</v>
      </c>
      <c r="I14" s="2078">
        <v>6198.348</v>
      </c>
      <c r="J14" s="2078">
        <v>70117.601999999999</v>
      </c>
      <c r="K14" s="2078">
        <v>29450.627</v>
      </c>
      <c r="L14" s="2078">
        <v>43564.027000000002</v>
      </c>
      <c r="M14" s="2078">
        <v>306907.60200000001</v>
      </c>
      <c r="N14" s="2078">
        <v>383046.11900000001</v>
      </c>
      <c r="O14" s="2078">
        <v>60108.31</v>
      </c>
      <c r="P14" s="2078">
        <v>17028.056</v>
      </c>
      <c r="Q14" s="2078">
        <v>475238.12199999997</v>
      </c>
      <c r="R14" s="2078">
        <v>421011.049</v>
      </c>
      <c r="S14" s="2078">
        <v>63722.434999999998</v>
      </c>
      <c r="T14" s="2078">
        <v>5414.9520000000002</v>
      </c>
      <c r="U14" s="2078">
        <v>66323.144</v>
      </c>
      <c r="V14" s="2078">
        <v>2187.5949999999998</v>
      </c>
      <c r="W14" s="2078">
        <v>11066</v>
      </c>
      <c r="X14" s="2078">
        <v>12210</v>
      </c>
      <c r="Y14" s="2081">
        <f t="shared" si="0"/>
        <v>2371459.199</v>
      </c>
      <c r="Z14" s="263"/>
      <c r="AA14" s="302"/>
      <c r="AB14" s="303"/>
      <c r="AC14" s="263"/>
      <c r="AD14" s="304"/>
      <c r="AE14" s="263"/>
      <c r="AF14" s="263"/>
      <c r="AG14" s="305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</row>
    <row r="15" spans="1:46" ht="30" customHeight="1" thickBot="1">
      <c r="A15" s="2082" t="s">
        <v>48</v>
      </c>
      <c r="B15" s="2083">
        <v>77390.599000000002</v>
      </c>
      <c r="C15" s="2084">
        <v>51207.671000000002</v>
      </c>
      <c r="D15" s="2083">
        <v>68659.683999999994</v>
      </c>
      <c r="E15" s="2084">
        <v>67912.198000000004</v>
      </c>
      <c r="F15" s="2084">
        <v>12663.659</v>
      </c>
      <c r="G15" s="2084">
        <v>39323.847000000002</v>
      </c>
      <c r="H15" s="2084">
        <v>85998.562999999995</v>
      </c>
      <c r="I15" s="2084">
        <v>6816.6809999999996</v>
      </c>
      <c r="J15" s="2084">
        <v>77496.649999999994</v>
      </c>
      <c r="K15" s="2084">
        <v>34345.385999999999</v>
      </c>
      <c r="L15" s="2084">
        <v>52709.790999999997</v>
      </c>
      <c r="M15" s="2084">
        <v>278881.54200000002</v>
      </c>
      <c r="N15" s="2084">
        <v>375474.54499999998</v>
      </c>
      <c r="O15" s="2084">
        <v>59247.311000000002</v>
      </c>
      <c r="P15" s="2083">
        <v>18209.044999999998</v>
      </c>
      <c r="Q15" s="2084">
        <v>452615.96899999998</v>
      </c>
      <c r="R15" s="2084">
        <v>359662.60800000001</v>
      </c>
      <c r="S15" s="2084">
        <v>57619.711000000003</v>
      </c>
      <c r="T15" s="2084">
        <v>1730.58</v>
      </c>
      <c r="U15" s="2084">
        <v>70706.542000000001</v>
      </c>
      <c r="V15" s="2084">
        <v>3079.69</v>
      </c>
      <c r="W15" s="2084">
        <v>10648</v>
      </c>
      <c r="X15" s="2084">
        <v>11825</v>
      </c>
      <c r="Y15" s="2085">
        <f t="shared" si="0"/>
        <v>2274225.2719999999</v>
      </c>
      <c r="Z15" s="263"/>
      <c r="AA15" s="302"/>
      <c r="AB15" s="303"/>
      <c r="AC15" s="263"/>
      <c r="AD15" s="304"/>
      <c r="AE15" s="263"/>
      <c r="AF15" s="263"/>
      <c r="AG15" s="305"/>
      <c r="AH15" s="306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</row>
    <row r="16" spans="1:46" ht="27.75" customHeight="1" thickBot="1">
      <c r="A16" s="1939" t="s">
        <v>49</v>
      </c>
      <c r="B16" s="2086">
        <f>SUM(B4:B15)</f>
        <v>1128199.4189999998</v>
      </c>
      <c r="C16" s="2087">
        <f t="shared" ref="C16:X16" si="1">SUM(C4:C15)</f>
        <v>763738.98599999992</v>
      </c>
      <c r="D16" s="2087">
        <f t="shared" si="1"/>
        <v>896889.38900000008</v>
      </c>
      <c r="E16" s="2087">
        <f t="shared" si="1"/>
        <v>820218.076</v>
      </c>
      <c r="F16" s="2087">
        <f t="shared" si="1"/>
        <v>248452.54600000003</v>
      </c>
      <c r="G16" s="2087">
        <f t="shared" si="1"/>
        <v>353847.23099999997</v>
      </c>
      <c r="H16" s="2087">
        <f t="shared" si="1"/>
        <v>958538.26099999982</v>
      </c>
      <c r="I16" s="2087">
        <f t="shared" si="1"/>
        <v>73563.218999999997</v>
      </c>
      <c r="J16" s="2087">
        <f t="shared" si="1"/>
        <v>889929.41599999997</v>
      </c>
      <c r="K16" s="2087">
        <f t="shared" si="1"/>
        <v>357591.32199999999</v>
      </c>
      <c r="L16" s="2087">
        <f t="shared" si="1"/>
        <v>477670.29300000006</v>
      </c>
      <c r="M16" s="2088">
        <f>SUM(M4:M15)</f>
        <v>4050388.2340000002</v>
      </c>
      <c r="N16" s="2087">
        <f t="shared" si="1"/>
        <v>5052840.4720000001</v>
      </c>
      <c r="O16" s="2087">
        <f>SUM(O4:O15)</f>
        <v>730362.96399999992</v>
      </c>
      <c r="P16" s="2087">
        <f>SUM(P4:P15)</f>
        <v>175088.10500000004</v>
      </c>
      <c r="Q16" s="2087">
        <f t="shared" si="1"/>
        <v>5575257.8959999988</v>
      </c>
      <c r="R16" s="2089">
        <f t="shared" si="1"/>
        <v>4469103.5850000009</v>
      </c>
      <c r="S16" s="2089">
        <f>SUM(S4:S15)</f>
        <v>853616.59799999988</v>
      </c>
      <c r="T16" s="2089">
        <f t="shared" si="1"/>
        <v>68800.145000000004</v>
      </c>
      <c r="U16" s="2089">
        <f t="shared" si="1"/>
        <v>855634.98399999994</v>
      </c>
      <c r="V16" s="2089">
        <f t="shared" si="1"/>
        <v>56145.78300000001</v>
      </c>
      <c r="W16" s="2089">
        <f t="shared" si="1"/>
        <v>131450</v>
      </c>
      <c r="X16" s="2089">
        <f t="shared" si="1"/>
        <v>148307.5</v>
      </c>
      <c r="Y16" s="2090">
        <f>SUM(Y4:Y15)</f>
        <v>29135634.424000002</v>
      </c>
      <c r="AA16" s="303"/>
      <c r="AB16" s="307"/>
      <c r="AC16" s="263"/>
      <c r="AD16" s="304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</row>
    <row r="17" spans="1:44">
      <c r="A17" s="2988" t="s">
        <v>448</v>
      </c>
      <c r="B17" s="2988"/>
      <c r="C17" s="2988"/>
      <c r="D17" s="2988"/>
      <c r="E17" s="2988"/>
      <c r="F17" s="2988"/>
      <c r="G17" s="2988"/>
      <c r="H17" s="2988"/>
      <c r="I17" s="2988"/>
      <c r="J17" s="2988"/>
      <c r="K17" s="2988"/>
      <c r="L17" s="2988"/>
      <c r="M17" s="2988"/>
      <c r="N17" s="2988"/>
      <c r="O17" s="2988"/>
      <c r="P17" s="2988"/>
      <c r="Q17" s="2988"/>
      <c r="R17" s="2988"/>
      <c r="S17" s="2988"/>
      <c r="T17" s="2988"/>
      <c r="U17" s="2988"/>
      <c r="V17" s="2988"/>
      <c r="W17" s="2988"/>
      <c r="X17" s="2988"/>
      <c r="Y17" s="2988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ht="24.75"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308"/>
      <c r="S18" s="308"/>
      <c r="T18" s="308"/>
      <c r="U18" s="309"/>
      <c r="V18" s="309"/>
      <c r="W18" s="309"/>
      <c r="X18" s="308"/>
      <c r="Y18" s="309"/>
      <c r="Z18" s="308"/>
    </row>
    <row r="19" spans="1:44" ht="24.75">
      <c r="A19" s="307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07"/>
      <c r="Z19" s="308"/>
    </row>
    <row r="20" spans="1:44" ht="24.75">
      <c r="A20" s="307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308"/>
    </row>
    <row r="21" spans="1:44">
      <c r="A21" s="307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</row>
    <row r="22" spans="1:44">
      <c r="A22" s="307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</row>
    <row r="23" spans="1:44">
      <c r="A23" s="307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</row>
    <row r="24" spans="1:44">
      <c r="A24" s="307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</row>
    <row r="25" spans="1:44">
      <c r="A25" s="307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</row>
    <row r="26" spans="1:44">
      <c r="A26" s="307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</row>
    <row r="27" spans="1:44">
      <c r="A27" s="307"/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</row>
    <row r="28" spans="1:44">
      <c r="A28" s="307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</row>
    <row r="29" spans="1:44">
      <c r="A29" s="307"/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</row>
    <row r="30" spans="1:44">
      <c r="A30" s="307"/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</row>
    <row r="31" spans="1:44">
      <c r="A31" s="307"/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</row>
    <row r="32" spans="1:44">
      <c r="A32" s="307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</row>
    <row r="33" spans="1:25">
      <c r="A33" s="307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</row>
    <row r="34" spans="1:25">
      <c r="A34" s="307"/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</row>
    <row r="35" spans="1:25">
      <c r="A35" s="307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</row>
    <row r="36" spans="1:25"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</row>
    <row r="37" spans="1:25"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</row>
    <row r="38" spans="1:25"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</row>
    <row r="39" spans="1:25"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</row>
    <row r="40" spans="1:25"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</row>
    <row r="41" spans="1:25"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</row>
    <row r="42" spans="1:25"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</row>
    <row r="43" spans="1:25"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</row>
    <row r="44" spans="1:25"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5"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</row>
    <row r="46" spans="1:25">
      <c r="B46" s="263"/>
    </row>
    <row r="47" spans="1:25">
      <c r="B47" s="263"/>
    </row>
    <row r="48" spans="1:25">
      <c r="B48" s="263"/>
    </row>
    <row r="49" spans="2:2">
      <c r="B49" s="263"/>
    </row>
    <row r="50" spans="2:2">
      <c r="B50" s="263"/>
    </row>
    <row r="51" spans="2:2">
      <c r="B51" s="263"/>
    </row>
    <row r="52" spans="2:2">
      <c r="B52" s="263"/>
    </row>
  </sheetData>
  <mergeCells count="4">
    <mergeCell ref="A1:Y1"/>
    <mergeCell ref="AB1:AR1"/>
    <mergeCell ref="A2:Y2"/>
    <mergeCell ref="A17:Y17"/>
  </mergeCells>
  <printOptions horizontalCentered="1"/>
  <pageMargins left="0.19685039370078741" right="0.19685039370078741" top="0.98425196850393704" bottom="0.98425196850393704" header="0" footer="0"/>
  <pageSetup paperSize="9" scale="80" fitToHeight="2" orientation="landscape" r:id="rId1"/>
  <headerFooter alignWithMargins="0">
    <oddFooter xml:space="preserve">&amp;C&amp;"B Roya,Bold"&amp;12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K52"/>
  <sheetViews>
    <sheetView rightToLeft="1" workbookViewId="0">
      <selection activeCell="A46" sqref="A1:E46"/>
    </sheetView>
  </sheetViews>
  <sheetFormatPr defaultColWidth="7" defaultRowHeight="15.75"/>
  <cols>
    <col min="1" max="1" width="16.25" style="19" customWidth="1"/>
    <col min="2" max="2" width="13.75" style="19" customWidth="1"/>
    <col min="3" max="3" width="16" style="19" bestFit="1" customWidth="1"/>
    <col min="4" max="5" width="11.875" style="19" customWidth="1"/>
    <col min="6" max="8" width="7" style="19"/>
    <col min="9" max="9" width="10.625" style="19" customWidth="1"/>
    <col min="10" max="10" width="7" style="19"/>
    <col min="11" max="11" width="7.375" style="19" bestFit="1" customWidth="1"/>
    <col min="12" max="16384" width="7" style="19"/>
  </cols>
  <sheetData>
    <row r="1" ht="15" customHeight="1"/>
    <row r="2" ht="14.25" customHeight="1"/>
    <row r="3" ht="18" customHeight="1"/>
    <row r="4" ht="16.5" customHeight="1"/>
    <row r="5" ht="16.5" customHeight="1"/>
    <row r="6" ht="18" customHeight="1"/>
    <row r="7" ht="15.75" customHeight="1"/>
    <row r="8" ht="16.5" customHeight="1"/>
    <row r="9" ht="15" customHeight="1"/>
    <row r="10" ht="18" customHeight="1"/>
    <row r="11" ht="18" customHeight="1"/>
    <row r="12" ht="18" customHeight="1"/>
    <row r="13" ht="18" customHeight="1"/>
    <row r="14" ht="15.75" customHeight="1"/>
    <row r="15" ht="15.75" customHeight="1"/>
    <row r="16" ht="18" customHeight="1"/>
    <row r="17" spans="1:11" ht="12.75" customHeight="1"/>
    <row r="18" spans="1:11" ht="18.75" customHeight="1">
      <c r="A18" s="2960" t="s">
        <v>449</v>
      </c>
      <c r="B18" s="2960"/>
      <c r="C18" s="2960"/>
      <c r="D18" s="2960"/>
      <c r="E18" s="2960"/>
    </row>
    <row r="19" spans="1:11" ht="15" customHeight="1" thickBot="1">
      <c r="A19" s="2987" t="s">
        <v>306</v>
      </c>
      <c r="B19" s="2987"/>
      <c r="C19" s="2987"/>
      <c r="D19" s="2987"/>
      <c r="E19" s="2987"/>
    </row>
    <row r="20" spans="1:11" ht="20.25" customHeight="1">
      <c r="A20" s="2989" t="s">
        <v>1</v>
      </c>
      <c r="B20" s="2991" t="s">
        <v>283</v>
      </c>
      <c r="C20" s="2992"/>
      <c r="D20" s="2993" t="s">
        <v>318</v>
      </c>
      <c r="E20" s="2995" t="s">
        <v>284</v>
      </c>
    </row>
    <row r="21" spans="1:11" ht="16.5" customHeight="1" thickBot="1">
      <c r="A21" s="2990"/>
      <c r="B21" s="2091">
        <v>1401</v>
      </c>
      <c r="C21" s="2091">
        <v>1402</v>
      </c>
      <c r="D21" s="2994"/>
      <c r="E21" s="2996"/>
      <c r="K21" s="311"/>
    </row>
    <row r="22" spans="1:11" ht="14.25" customHeight="1">
      <c r="A22" s="2092" t="s">
        <v>68</v>
      </c>
      <c r="B22" s="2093">
        <v>1166045.3199999998</v>
      </c>
      <c r="C22" s="2093">
        <v>1128199.4189999998</v>
      </c>
      <c r="D22" s="2094">
        <f>C22-B22</f>
        <v>-37845.901000000071</v>
      </c>
      <c r="E22" s="2095">
        <f>D22/B22</f>
        <v>-3.2456629558789425E-2</v>
      </c>
    </row>
    <row r="23" spans="1:11" ht="14.25" customHeight="1">
      <c r="A23" s="2092" t="s">
        <v>69</v>
      </c>
      <c r="B23" s="2093">
        <v>758664.17899999977</v>
      </c>
      <c r="C23" s="2093">
        <v>763738.98599999992</v>
      </c>
      <c r="D23" s="2094">
        <f t="shared" ref="D23:D45" si="0">C23-B23</f>
        <v>5074.8070000001462</v>
      </c>
      <c r="E23" s="2095">
        <f t="shared" ref="E23:E45" si="1">D23/B23</f>
        <v>6.6891348510605608E-3</v>
      </c>
    </row>
    <row r="24" spans="1:11" ht="14.25" customHeight="1">
      <c r="A24" s="2092" t="s">
        <v>70</v>
      </c>
      <c r="B24" s="2093">
        <v>868176.58599999989</v>
      </c>
      <c r="C24" s="2093">
        <f>896889.582-0.193</f>
        <v>896889.38900000008</v>
      </c>
      <c r="D24" s="2094">
        <f t="shared" si="0"/>
        <v>28712.803000000189</v>
      </c>
      <c r="E24" s="2095">
        <f t="shared" si="1"/>
        <v>3.3072537848884344E-2</v>
      </c>
      <c r="J24" s="75"/>
    </row>
    <row r="25" spans="1:11" ht="14.25" customHeight="1">
      <c r="A25" s="2092" t="s">
        <v>71</v>
      </c>
      <c r="B25" s="2093">
        <v>909305.53500000003</v>
      </c>
      <c r="C25" s="2093">
        <v>820218.076</v>
      </c>
      <c r="D25" s="2094">
        <f t="shared" si="0"/>
        <v>-89087.459000000032</v>
      </c>
      <c r="E25" s="2095">
        <f t="shared" si="1"/>
        <v>-9.7973074583781156E-2</v>
      </c>
    </row>
    <row r="26" spans="1:11" ht="14.25" customHeight="1">
      <c r="A26" s="2092" t="s">
        <v>72</v>
      </c>
      <c r="B26" s="2093">
        <v>362623.52699999994</v>
      </c>
      <c r="C26" s="2093">
        <v>248452.54600000003</v>
      </c>
      <c r="D26" s="2094">
        <f t="shared" si="0"/>
        <v>-114170.98099999991</v>
      </c>
      <c r="E26" s="2095">
        <f t="shared" si="1"/>
        <v>-0.31484714172999573</v>
      </c>
    </row>
    <row r="27" spans="1:11" ht="12.75" customHeight="1">
      <c r="A27" s="2092" t="s">
        <v>73</v>
      </c>
      <c r="B27" s="2093">
        <v>368170.17299999995</v>
      </c>
      <c r="C27" s="2093">
        <v>353847.23099999997</v>
      </c>
      <c r="D27" s="2094">
        <f t="shared" si="0"/>
        <v>-14322.941999999981</v>
      </c>
      <c r="E27" s="2095">
        <f t="shared" si="1"/>
        <v>-3.8903048237967891E-2</v>
      </c>
    </row>
    <row r="28" spans="1:11" ht="12.75" customHeight="1">
      <c r="A28" s="2092" t="s">
        <v>450</v>
      </c>
      <c r="B28" s="2093">
        <v>934409.45900000003</v>
      </c>
      <c r="C28" s="2093">
        <v>958538.26099999982</v>
      </c>
      <c r="D28" s="2094">
        <f t="shared" si="0"/>
        <v>24128.801999999792</v>
      </c>
      <c r="E28" s="2095">
        <f t="shared" si="1"/>
        <v>2.5822514709795751E-2</v>
      </c>
    </row>
    <row r="29" spans="1:11" ht="14.25" customHeight="1">
      <c r="A29" s="2092" t="s">
        <v>75</v>
      </c>
      <c r="B29" s="2093">
        <v>67788.304000000004</v>
      </c>
      <c r="C29" s="2093">
        <v>73563.218999999997</v>
      </c>
      <c r="D29" s="2094">
        <f>C29-B29</f>
        <v>5774.9149999999936</v>
      </c>
      <c r="E29" s="2095">
        <f>D29/B29</f>
        <v>8.5190433441143382E-2</v>
      </c>
    </row>
    <row r="30" spans="1:11" ht="12" customHeight="1">
      <c r="A30" s="2092" t="s">
        <v>76</v>
      </c>
      <c r="B30" s="2093">
        <v>815931.31899999978</v>
      </c>
      <c r="C30" s="2093">
        <v>889929.41599999997</v>
      </c>
      <c r="D30" s="2094">
        <f t="shared" si="0"/>
        <v>73998.097000000183</v>
      </c>
      <c r="E30" s="2095">
        <f t="shared" si="1"/>
        <v>9.0691575720725837E-2</v>
      </c>
    </row>
    <row r="31" spans="1:11" ht="14.25" customHeight="1">
      <c r="A31" s="2092" t="s">
        <v>77</v>
      </c>
      <c r="B31" s="2093">
        <v>525685.83400000003</v>
      </c>
      <c r="C31" s="2093">
        <v>357591.32199999999</v>
      </c>
      <c r="D31" s="2094">
        <f t="shared" si="0"/>
        <v>-168094.51200000005</v>
      </c>
      <c r="E31" s="2095">
        <f t="shared" si="1"/>
        <v>-0.31976230122267291</v>
      </c>
    </row>
    <row r="32" spans="1:11" ht="14.25" customHeight="1">
      <c r="A32" s="2092" t="s">
        <v>78</v>
      </c>
      <c r="B32" s="2093">
        <v>665983.98400000005</v>
      </c>
      <c r="C32" s="2093">
        <v>477670.29300000006</v>
      </c>
      <c r="D32" s="2094">
        <f t="shared" si="0"/>
        <v>-188313.69099999999</v>
      </c>
      <c r="E32" s="2095">
        <f t="shared" si="1"/>
        <v>-0.28276008961801097</v>
      </c>
    </row>
    <row r="33" spans="1:7" ht="14.25" customHeight="1">
      <c r="A33" s="2092" t="s">
        <v>79</v>
      </c>
      <c r="B33" s="2093">
        <v>4786952.9510000004</v>
      </c>
      <c r="C33" s="2093">
        <v>4050388.2340000002</v>
      </c>
      <c r="D33" s="2094">
        <f t="shared" si="0"/>
        <v>-736564.71700000018</v>
      </c>
      <c r="E33" s="2095">
        <f t="shared" si="1"/>
        <v>-0.15386922005283776</v>
      </c>
    </row>
    <row r="34" spans="1:7" ht="14.25" customHeight="1">
      <c r="A34" s="2092" t="s">
        <v>402</v>
      </c>
      <c r="B34" s="2093">
        <v>5480048.2979999995</v>
      </c>
      <c r="C34" s="2093">
        <v>5052840.4720000001</v>
      </c>
      <c r="D34" s="2094">
        <f t="shared" si="0"/>
        <v>-427207.82599999942</v>
      </c>
      <c r="E34" s="2095">
        <f t="shared" si="1"/>
        <v>-7.7956945407928857E-2</v>
      </c>
    </row>
    <row r="35" spans="1:7" ht="14.25" customHeight="1">
      <c r="A35" s="2092" t="s">
        <v>403</v>
      </c>
      <c r="B35" s="2093">
        <v>617666.45499999996</v>
      </c>
      <c r="C35" s="2093">
        <v>730362.96399999992</v>
      </c>
      <c r="D35" s="2094">
        <f t="shared" si="0"/>
        <v>112696.50899999996</v>
      </c>
      <c r="E35" s="2095">
        <f t="shared" si="1"/>
        <v>0.18245528486729939</v>
      </c>
    </row>
    <row r="36" spans="1:7" ht="14.25" customHeight="1">
      <c r="A36" s="2092" t="s">
        <v>82</v>
      </c>
      <c r="B36" s="2093">
        <v>178148.351</v>
      </c>
      <c r="C36" s="2093">
        <v>175088.10500000004</v>
      </c>
      <c r="D36" s="2094">
        <f t="shared" si="0"/>
        <v>-3060.2459999999555</v>
      </c>
      <c r="E36" s="2095">
        <f t="shared" si="1"/>
        <v>-1.7178076489745085E-2</v>
      </c>
    </row>
    <row r="37" spans="1:7" ht="14.25" customHeight="1">
      <c r="A37" s="2092" t="s">
        <v>83</v>
      </c>
      <c r="B37" s="2093">
        <v>5693893.7769999998</v>
      </c>
      <c r="C37" s="2093">
        <v>5575257.8959999988</v>
      </c>
      <c r="D37" s="2094">
        <f t="shared" si="0"/>
        <v>-118635.88100000098</v>
      </c>
      <c r="E37" s="2095">
        <f t="shared" si="1"/>
        <v>-2.0835632986203667E-2</v>
      </c>
    </row>
    <row r="38" spans="1:7" ht="14.25" customHeight="1">
      <c r="A38" s="2092" t="s">
        <v>87</v>
      </c>
      <c r="B38" s="2093">
        <v>893057.9879999999</v>
      </c>
      <c r="C38" s="2093">
        <v>855634.98399999994</v>
      </c>
      <c r="D38" s="2094">
        <f>C38-B38</f>
        <v>-37423.003999999957</v>
      </c>
      <c r="E38" s="2095">
        <f>D38/B38</f>
        <v>-4.1904338243263062E-2</v>
      </c>
    </row>
    <row r="39" spans="1:7" ht="14.25" customHeight="1">
      <c r="A39" s="2092" t="s">
        <v>86</v>
      </c>
      <c r="B39" s="2093">
        <v>843163.94200000004</v>
      </c>
      <c r="C39" s="2093">
        <v>853616.59799999988</v>
      </c>
      <c r="D39" s="2094">
        <f>C39-B39</f>
        <v>10452.655999999843</v>
      </c>
      <c r="E39" s="2095">
        <f>D39/B39</f>
        <v>1.2396943796251478E-2</v>
      </c>
    </row>
    <row r="40" spans="1:7" ht="14.25" customHeight="1">
      <c r="A40" s="2092" t="s">
        <v>84</v>
      </c>
      <c r="B40" s="2093">
        <v>3877733.68</v>
      </c>
      <c r="C40" s="2093">
        <v>4469103.5850000009</v>
      </c>
      <c r="D40" s="2094">
        <f t="shared" si="0"/>
        <v>591369.90500000073</v>
      </c>
      <c r="E40" s="2095">
        <f t="shared" si="1"/>
        <v>0.15250400202831896</v>
      </c>
    </row>
    <row r="41" spans="1:7" ht="12.75" customHeight="1">
      <c r="A41" s="2092" t="s">
        <v>85</v>
      </c>
      <c r="B41" s="2093">
        <v>102635.60400000001</v>
      </c>
      <c r="C41" s="2093">
        <v>68800.145000000004</v>
      </c>
      <c r="D41" s="2094">
        <f>C41-B41</f>
        <v>-33835.459000000003</v>
      </c>
      <c r="E41" s="2095">
        <f>D41/B41</f>
        <v>-0.32966590229254167</v>
      </c>
    </row>
    <row r="42" spans="1:7" ht="12" customHeight="1">
      <c r="A42" s="2092" t="s">
        <v>88</v>
      </c>
      <c r="B42" s="2093">
        <v>39264.55000000001</v>
      </c>
      <c r="C42" s="2093">
        <v>56145.78300000001</v>
      </c>
      <c r="D42" s="2094">
        <f>C42-B42</f>
        <v>16881.233</v>
      </c>
      <c r="E42" s="2095">
        <f>D42/B42</f>
        <v>0.42993573083099118</v>
      </c>
    </row>
    <row r="43" spans="1:7" ht="14.25" customHeight="1">
      <c r="A43" s="2092" t="s">
        <v>397</v>
      </c>
      <c r="B43" s="2094">
        <v>162387.5</v>
      </c>
      <c r="C43" s="2096">
        <v>131450</v>
      </c>
      <c r="D43" s="2094">
        <f t="shared" ref="D43:D44" si="2">C43-B43</f>
        <v>-30937.5</v>
      </c>
      <c r="E43" s="2095">
        <f t="shared" ref="E43:E44" si="3">D43/B43</f>
        <v>-0.19051651143099069</v>
      </c>
      <c r="G43" s="75"/>
    </row>
    <row r="44" spans="1:7" ht="14.25" customHeight="1" thickBot="1">
      <c r="A44" s="2092" t="s">
        <v>90</v>
      </c>
      <c r="B44" s="2097">
        <v>131164</v>
      </c>
      <c r="C44" s="2098">
        <v>148307.5</v>
      </c>
      <c r="D44" s="2094">
        <f t="shared" si="2"/>
        <v>17143.5</v>
      </c>
      <c r="E44" s="2095">
        <f t="shared" si="3"/>
        <v>0.13070278430057028</v>
      </c>
    </row>
    <row r="45" spans="1:7" ht="18" customHeight="1" thickBot="1">
      <c r="A45" s="2099" t="s">
        <v>49</v>
      </c>
      <c r="B45" s="2100">
        <f>SUM(B22:B44)</f>
        <v>30248901.316</v>
      </c>
      <c r="C45" s="2101">
        <f>SUM(C22:C44)</f>
        <v>29135634.424000002</v>
      </c>
      <c r="D45" s="2102">
        <f t="shared" si="0"/>
        <v>-1113266.8919999972</v>
      </c>
      <c r="E45" s="2103">
        <f t="shared" si="1"/>
        <v>-3.6803548015515539E-2</v>
      </c>
    </row>
    <row r="46" spans="1:7">
      <c r="A46" s="2970" t="s">
        <v>451</v>
      </c>
      <c r="B46" s="2970"/>
      <c r="C46" s="2970"/>
      <c r="D46" s="2970"/>
      <c r="E46" s="2970"/>
    </row>
    <row r="47" spans="1:7">
      <c r="A47" s="260"/>
      <c r="C47" s="26"/>
      <c r="D47" s="26"/>
    </row>
    <row r="49" spans="3:3">
      <c r="C49" s="75"/>
    </row>
    <row r="50" spans="3:3">
      <c r="C50" s="75"/>
    </row>
    <row r="52" spans="3:3">
      <c r="C52" s="75"/>
    </row>
  </sheetData>
  <mergeCells count="7">
    <mergeCell ref="A46:E46"/>
    <mergeCell ref="A18:E18"/>
    <mergeCell ref="A19:E19"/>
    <mergeCell ref="A20:A21"/>
    <mergeCell ref="B20:C20"/>
    <mergeCell ref="D20:D21"/>
    <mergeCell ref="E20:E2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4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P37"/>
  <sheetViews>
    <sheetView rightToLeft="1" zoomScaleNormal="100" workbookViewId="0">
      <pane xSplit="1" ySplit="2" topLeftCell="B3" activePane="bottomRight" state="frozen"/>
      <selection activeCell="A17" sqref="A17:Y17"/>
      <selection pane="topRight" activeCell="A17" sqref="A17:Y17"/>
      <selection pane="bottomLeft" activeCell="A17" sqref="A17:Y17"/>
      <selection pane="bottomRight" activeCell="H28" sqref="H1:N28"/>
    </sheetView>
  </sheetViews>
  <sheetFormatPr defaultColWidth="11.25" defaultRowHeight="15.75"/>
  <cols>
    <col min="1" max="1" width="17.375" style="312" bestFit="1" customWidth="1"/>
    <col min="2" max="13" width="12.25" style="312" bestFit="1" customWidth="1"/>
    <col min="14" max="14" width="13.375" style="312" bestFit="1" customWidth="1"/>
    <col min="15" max="15" width="1.875" style="312" bestFit="1" customWidth="1"/>
    <col min="16" max="16384" width="11.25" style="312"/>
  </cols>
  <sheetData>
    <row r="1" spans="1:16" ht="30" customHeight="1" thickBot="1">
      <c r="A1" s="2857" t="s">
        <v>2032</v>
      </c>
      <c r="B1" s="2857"/>
      <c r="C1" s="2857"/>
      <c r="D1" s="2857"/>
      <c r="E1" s="2857"/>
      <c r="F1" s="2857"/>
      <c r="G1" s="2857"/>
      <c r="H1" s="2858" t="s">
        <v>2033</v>
      </c>
      <c r="I1" s="2858"/>
      <c r="J1" s="2858"/>
      <c r="K1" s="2858"/>
      <c r="L1" s="2858"/>
      <c r="M1" s="2858"/>
      <c r="N1" s="2858"/>
    </row>
    <row r="2" spans="1:16" ht="48" customHeight="1" thickBot="1">
      <c r="A2" s="2104" t="s">
        <v>1</v>
      </c>
      <c r="B2" s="2105" t="s">
        <v>416</v>
      </c>
      <c r="C2" s="2106" t="s">
        <v>38</v>
      </c>
      <c r="D2" s="2106" t="s">
        <v>39</v>
      </c>
      <c r="E2" s="2106" t="s">
        <v>40</v>
      </c>
      <c r="F2" s="2106" t="s">
        <v>41</v>
      </c>
      <c r="G2" s="2107" t="s">
        <v>42</v>
      </c>
      <c r="H2" s="2107" t="s">
        <v>43</v>
      </c>
      <c r="I2" s="2106" t="s">
        <v>405</v>
      </c>
      <c r="J2" s="2106" t="s">
        <v>45</v>
      </c>
      <c r="K2" s="2106" t="s">
        <v>406</v>
      </c>
      <c r="L2" s="2106" t="s">
        <v>47</v>
      </c>
      <c r="M2" s="2106" t="s">
        <v>48</v>
      </c>
      <c r="N2" s="2104" t="s">
        <v>49</v>
      </c>
    </row>
    <row r="3" spans="1:16" ht="24" customHeight="1" thickBot="1">
      <c r="A3" s="2023" t="s">
        <v>417</v>
      </c>
      <c r="B3" s="2108">
        <v>327050275</v>
      </c>
      <c r="C3" s="2109">
        <v>290677877</v>
      </c>
      <c r="D3" s="2109">
        <v>308473537</v>
      </c>
      <c r="E3" s="2109">
        <v>310825889</v>
      </c>
      <c r="F3" s="2109">
        <v>282699277</v>
      </c>
      <c r="G3" s="2110">
        <v>305616714</v>
      </c>
      <c r="H3" s="2110">
        <v>325665858</v>
      </c>
      <c r="I3" s="2109">
        <v>297124786</v>
      </c>
      <c r="J3" s="2109">
        <v>245454416</v>
      </c>
      <c r="K3" s="2109">
        <v>243374111</v>
      </c>
      <c r="L3" s="2109">
        <v>251783865</v>
      </c>
      <c r="M3" s="2109">
        <v>225003548</v>
      </c>
      <c r="N3" s="2039">
        <f t="shared" ref="N3:N26" si="0">SUM(B3:M3)</f>
        <v>3413750153</v>
      </c>
      <c r="O3" s="313">
        <f>+N3-'52'!Y3</f>
        <v>0</v>
      </c>
      <c r="P3" s="313"/>
    </row>
    <row r="4" spans="1:16" ht="24" customHeight="1">
      <c r="A4" s="2028" t="s">
        <v>419</v>
      </c>
      <c r="B4" s="2111">
        <v>92379526</v>
      </c>
      <c r="C4" s="2112">
        <v>106587658</v>
      </c>
      <c r="D4" s="2112">
        <v>99649498</v>
      </c>
      <c r="E4" s="2112">
        <v>98503561</v>
      </c>
      <c r="F4" s="2112">
        <v>117430362</v>
      </c>
      <c r="G4" s="2113">
        <v>110215108</v>
      </c>
      <c r="H4" s="2113">
        <v>57764028</v>
      </c>
      <c r="I4" s="2112">
        <v>70844928</v>
      </c>
      <c r="J4" s="2112">
        <v>69711731</v>
      </c>
      <c r="K4" s="2112">
        <v>65921381</v>
      </c>
      <c r="L4" s="2112">
        <v>68133966</v>
      </c>
      <c r="M4" s="2112">
        <v>60320960</v>
      </c>
      <c r="N4" s="2114">
        <f t="shared" si="0"/>
        <v>1017462707</v>
      </c>
      <c r="O4" s="313">
        <f>+N4-'52'!Y4</f>
        <v>0</v>
      </c>
      <c r="P4" s="313"/>
    </row>
    <row r="5" spans="1:16" ht="24" customHeight="1" thickBot="1">
      <c r="A5" s="2028" t="s">
        <v>421</v>
      </c>
      <c r="B5" s="2111">
        <v>1436896613</v>
      </c>
      <c r="C5" s="2112">
        <v>1340697753</v>
      </c>
      <c r="D5" s="2112">
        <v>1313598480</v>
      </c>
      <c r="E5" s="2112">
        <v>1076606010</v>
      </c>
      <c r="F5" s="2112">
        <v>1232058802</v>
      </c>
      <c r="G5" s="2113">
        <v>1282015749</v>
      </c>
      <c r="H5" s="2113">
        <f>1317815500+6</f>
        <v>1317815506</v>
      </c>
      <c r="I5" s="2112">
        <v>1326191999</v>
      </c>
      <c r="J5" s="2112">
        <v>1187721587</v>
      </c>
      <c r="K5" s="2112">
        <v>1208028337</v>
      </c>
      <c r="L5" s="2112">
        <v>1189489275</v>
      </c>
      <c r="M5" s="2112">
        <v>1114983256</v>
      </c>
      <c r="N5" s="2114">
        <f t="shared" si="0"/>
        <v>15026103367</v>
      </c>
      <c r="O5" s="313">
        <f>+N5-'52'!Y5</f>
        <v>6</v>
      </c>
      <c r="P5" s="313"/>
    </row>
    <row r="6" spans="1:16" ht="24" customHeight="1" thickBot="1">
      <c r="A6" s="2023" t="s">
        <v>423</v>
      </c>
      <c r="B6" s="2115">
        <f t="shared" ref="B6:M6" si="1">SUM(B4:B5)</f>
        <v>1529276139</v>
      </c>
      <c r="C6" s="2110">
        <f t="shared" si="1"/>
        <v>1447285411</v>
      </c>
      <c r="D6" s="2115">
        <f t="shared" si="1"/>
        <v>1413247978</v>
      </c>
      <c r="E6" s="2110">
        <f t="shared" si="1"/>
        <v>1175109571</v>
      </c>
      <c r="F6" s="2115">
        <f t="shared" si="1"/>
        <v>1349489164</v>
      </c>
      <c r="G6" s="2110">
        <f t="shared" si="1"/>
        <v>1392230857</v>
      </c>
      <c r="H6" s="2110">
        <f t="shared" si="1"/>
        <v>1375579534</v>
      </c>
      <c r="I6" s="2110">
        <f t="shared" si="1"/>
        <v>1397036927</v>
      </c>
      <c r="J6" s="2115">
        <f t="shared" si="1"/>
        <v>1257433318</v>
      </c>
      <c r="K6" s="2110">
        <f t="shared" si="1"/>
        <v>1273949718</v>
      </c>
      <c r="L6" s="2115">
        <f t="shared" si="1"/>
        <v>1257623241</v>
      </c>
      <c r="M6" s="2108">
        <f t="shared" si="1"/>
        <v>1175304216</v>
      </c>
      <c r="N6" s="2039">
        <f t="shared" si="0"/>
        <v>16043566074</v>
      </c>
      <c r="O6" s="313">
        <f>+N6-'52'!Y6</f>
        <v>6</v>
      </c>
      <c r="P6" s="313"/>
    </row>
    <row r="7" spans="1:16" ht="24" customHeight="1" thickBot="1">
      <c r="A7" s="2028" t="s">
        <v>425</v>
      </c>
      <c r="B7" s="2111">
        <v>63974781</v>
      </c>
      <c r="C7" s="2112">
        <v>56201855</v>
      </c>
      <c r="D7" s="2113">
        <v>72936915</v>
      </c>
      <c r="E7" s="2112">
        <v>62684790</v>
      </c>
      <c r="F7" s="2113">
        <v>46466531</v>
      </c>
      <c r="G7" s="2113">
        <v>24326736</v>
      </c>
      <c r="H7" s="2113">
        <v>69928765</v>
      </c>
      <c r="I7" s="2112">
        <v>78403640</v>
      </c>
      <c r="J7" s="2113">
        <v>27818868</v>
      </c>
      <c r="K7" s="2112">
        <v>37844873</v>
      </c>
      <c r="L7" s="2113">
        <v>51240119</v>
      </c>
      <c r="M7" s="2112">
        <v>50533891</v>
      </c>
      <c r="N7" s="2114">
        <f t="shared" si="0"/>
        <v>642361764</v>
      </c>
      <c r="O7" s="313">
        <f>+N7-'52'!Y7</f>
        <v>0</v>
      </c>
      <c r="P7" s="313"/>
    </row>
    <row r="8" spans="1:16" ht="24" customHeight="1" thickBot="1">
      <c r="A8" s="2023" t="s">
        <v>427</v>
      </c>
      <c r="B8" s="2108">
        <v>25694631</v>
      </c>
      <c r="C8" s="2109">
        <v>26325207</v>
      </c>
      <c r="D8" s="2109">
        <v>26387136</v>
      </c>
      <c r="E8" s="2109">
        <v>30152136</v>
      </c>
      <c r="F8" s="2109">
        <v>31554705</v>
      </c>
      <c r="G8" s="2110">
        <v>28857235</v>
      </c>
      <c r="H8" s="2110">
        <v>24487979</v>
      </c>
      <c r="I8" s="2109">
        <v>28857999</v>
      </c>
      <c r="J8" s="2109">
        <v>20231192</v>
      </c>
      <c r="K8" s="2109">
        <v>19910638</v>
      </c>
      <c r="L8" s="2109">
        <v>16532211</v>
      </c>
      <c r="M8" s="2109">
        <v>23221662</v>
      </c>
      <c r="N8" s="2039">
        <f t="shared" si="0"/>
        <v>302212731</v>
      </c>
      <c r="O8" s="313">
        <f>+N8-'52'!Y8</f>
        <v>0</v>
      </c>
      <c r="P8" s="313"/>
    </row>
    <row r="9" spans="1:16" ht="24" customHeight="1">
      <c r="A9" s="2028" t="s">
        <v>429</v>
      </c>
      <c r="B9" s="2111">
        <v>141544128</v>
      </c>
      <c r="C9" s="2112">
        <v>160602174</v>
      </c>
      <c r="D9" s="2113">
        <v>198653341</v>
      </c>
      <c r="E9" s="2112">
        <v>210104554</v>
      </c>
      <c r="F9" s="2113">
        <v>202126235</v>
      </c>
      <c r="G9" s="2113">
        <v>148034479</v>
      </c>
      <c r="H9" s="2113">
        <v>150494218</v>
      </c>
      <c r="I9" s="2112">
        <v>87623457</v>
      </c>
      <c r="J9" s="2113">
        <v>111205561</v>
      </c>
      <c r="K9" s="2112">
        <v>30544762</v>
      </c>
      <c r="L9" s="2113">
        <v>129499664</v>
      </c>
      <c r="M9" s="2112">
        <v>194900419</v>
      </c>
      <c r="N9" s="2114">
        <f t="shared" si="0"/>
        <v>1765332992</v>
      </c>
      <c r="O9" s="313">
        <f>+N9-'52'!Y9</f>
        <v>0</v>
      </c>
      <c r="P9" s="313"/>
    </row>
    <row r="10" spans="1:16" ht="24" customHeight="1" thickBot="1">
      <c r="A10" s="2028" t="s">
        <v>432</v>
      </c>
      <c r="B10" s="2111">
        <v>3077577</v>
      </c>
      <c r="C10" s="2112">
        <v>3384868</v>
      </c>
      <c r="D10" s="2113">
        <v>9765870</v>
      </c>
      <c r="E10" s="2112">
        <v>4579856</v>
      </c>
      <c r="F10" s="2113">
        <v>3918993</v>
      </c>
      <c r="G10" s="2113">
        <v>4679572</v>
      </c>
      <c r="H10" s="2113">
        <v>6427113</v>
      </c>
      <c r="I10" s="2112">
        <v>15869107</v>
      </c>
      <c r="J10" s="2113">
        <v>13766757</v>
      </c>
      <c r="K10" s="2112">
        <v>19003792</v>
      </c>
      <c r="L10" s="2113">
        <v>17446157</v>
      </c>
      <c r="M10" s="2112">
        <v>12415707</v>
      </c>
      <c r="N10" s="2114">
        <f t="shared" si="0"/>
        <v>114335369</v>
      </c>
      <c r="O10" s="313">
        <f>+N10-'52'!Y10</f>
        <v>0</v>
      </c>
      <c r="P10" s="313"/>
    </row>
    <row r="11" spans="1:16" ht="24" customHeight="1" thickBot="1">
      <c r="A11" s="2023" t="s">
        <v>49</v>
      </c>
      <c r="B11" s="2108">
        <f t="shared" ref="B11:M11" si="2">SUM(B9:B10)</f>
        <v>144621705</v>
      </c>
      <c r="C11" s="2110">
        <f t="shared" si="2"/>
        <v>163987042</v>
      </c>
      <c r="D11" s="2108">
        <f t="shared" si="2"/>
        <v>208419211</v>
      </c>
      <c r="E11" s="2110">
        <f t="shared" si="2"/>
        <v>214684410</v>
      </c>
      <c r="F11" s="2108">
        <f t="shared" si="2"/>
        <v>206045228</v>
      </c>
      <c r="G11" s="2110">
        <f t="shared" si="2"/>
        <v>152714051</v>
      </c>
      <c r="H11" s="2110">
        <f t="shared" si="2"/>
        <v>156921331</v>
      </c>
      <c r="I11" s="2108">
        <f t="shared" si="2"/>
        <v>103492564</v>
      </c>
      <c r="J11" s="2110">
        <f t="shared" si="2"/>
        <v>124972318</v>
      </c>
      <c r="K11" s="2108">
        <f t="shared" si="2"/>
        <v>49548554</v>
      </c>
      <c r="L11" s="2110">
        <f t="shared" si="2"/>
        <v>146945821</v>
      </c>
      <c r="M11" s="2108">
        <f t="shared" si="2"/>
        <v>207316126</v>
      </c>
      <c r="N11" s="2039">
        <f t="shared" si="0"/>
        <v>1879668361</v>
      </c>
      <c r="O11" s="313">
        <f>+N11-'52'!Y11</f>
        <v>0</v>
      </c>
      <c r="P11" s="313"/>
    </row>
    <row r="12" spans="1:16" ht="24" customHeight="1" thickBot="1">
      <c r="A12" s="2023" t="s">
        <v>433</v>
      </c>
      <c r="B12" s="2108">
        <v>59175122</v>
      </c>
      <c r="C12" s="2109">
        <v>30822926</v>
      </c>
      <c r="D12" s="2109">
        <v>36621564</v>
      </c>
      <c r="E12" s="2109">
        <v>31891999</v>
      </c>
      <c r="F12" s="2109">
        <v>21255917</v>
      </c>
      <c r="G12" s="2110">
        <v>49107866</v>
      </c>
      <c r="H12" s="2110">
        <v>44750500</v>
      </c>
      <c r="I12" s="2109">
        <v>61959755</v>
      </c>
      <c r="J12" s="2109">
        <v>61625779</v>
      </c>
      <c r="K12" s="2109">
        <v>35962888</v>
      </c>
      <c r="L12" s="2109">
        <v>36950123</v>
      </c>
      <c r="M12" s="2109">
        <v>23346914</v>
      </c>
      <c r="N12" s="2039">
        <f t="shared" si="0"/>
        <v>493471353</v>
      </c>
      <c r="O12" s="313">
        <f>+N12-'52'!Y12</f>
        <v>0</v>
      </c>
      <c r="P12" s="313"/>
    </row>
    <row r="13" spans="1:16" ht="24" customHeight="1">
      <c r="A13" s="2028" t="s">
        <v>434</v>
      </c>
      <c r="B13" s="2111">
        <v>215986735</v>
      </c>
      <c r="C13" s="2112">
        <v>165991312</v>
      </c>
      <c r="D13" s="2113">
        <v>171615978</v>
      </c>
      <c r="E13" s="2112">
        <v>115849374</v>
      </c>
      <c r="F13" s="2113">
        <v>113664952</v>
      </c>
      <c r="G13" s="2113">
        <v>134811747</v>
      </c>
      <c r="H13" s="2113">
        <v>142471581</v>
      </c>
      <c r="I13" s="2112">
        <v>136767858</v>
      </c>
      <c r="J13" s="2113">
        <v>149452969</v>
      </c>
      <c r="K13" s="2112">
        <v>132080398</v>
      </c>
      <c r="L13" s="2113">
        <v>169468547</v>
      </c>
      <c r="M13" s="2112">
        <v>160249399</v>
      </c>
      <c r="N13" s="2114">
        <f t="shared" si="0"/>
        <v>1808410850</v>
      </c>
      <c r="O13" s="313">
        <f>+N13-'52'!Y13</f>
        <v>0</v>
      </c>
      <c r="P13" s="313"/>
    </row>
    <row r="14" spans="1:16" ht="24" customHeight="1" thickBot="1">
      <c r="A14" s="2028" t="s">
        <v>435</v>
      </c>
      <c r="B14" s="2111">
        <v>9458115</v>
      </c>
      <c r="C14" s="2112">
        <v>8461595</v>
      </c>
      <c r="D14" s="2113">
        <v>3620772</v>
      </c>
      <c r="E14" s="2112">
        <v>8063596</v>
      </c>
      <c r="F14" s="2113">
        <v>3111722</v>
      </c>
      <c r="G14" s="2113">
        <v>6999553</v>
      </c>
      <c r="H14" s="2113">
        <v>6902955</v>
      </c>
      <c r="I14" s="2112">
        <v>6503143</v>
      </c>
      <c r="J14" s="2113">
        <v>5129233</v>
      </c>
      <c r="K14" s="2112">
        <v>8712477</v>
      </c>
      <c r="L14" s="2113">
        <v>6001953</v>
      </c>
      <c r="M14" s="2112">
        <v>7835737</v>
      </c>
      <c r="N14" s="2114">
        <f t="shared" si="0"/>
        <v>80800851</v>
      </c>
      <c r="O14" s="313">
        <f>+N14-'52'!Y14</f>
        <v>0</v>
      </c>
      <c r="P14" s="313"/>
    </row>
    <row r="15" spans="1:16" ht="24" customHeight="1" thickBot="1">
      <c r="A15" s="2023" t="s">
        <v>49</v>
      </c>
      <c r="B15" s="2108">
        <f t="shared" ref="B15:M15" si="3">SUM(B13:B14)</f>
        <v>225444850</v>
      </c>
      <c r="C15" s="2109">
        <f t="shared" si="3"/>
        <v>174452907</v>
      </c>
      <c r="D15" s="2109">
        <f t="shared" si="3"/>
        <v>175236750</v>
      </c>
      <c r="E15" s="2109">
        <f t="shared" si="3"/>
        <v>123912970</v>
      </c>
      <c r="F15" s="2109">
        <f t="shared" si="3"/>
        <v>116776674</v>
      </c>
      <c r="G15" s="2110">
        <f t="shared" si="3"/>
        <v>141811300</v>
      </c>
      <c r="H15" s="2110">
        <f t="shared" si="3"/>
        <v>149374536</v>
      </c>
      <c r="I15" s="2109">
        <f t="shared" si="3"/>
        <v>143271001</v>
      </c>
      <c r="J15" s="2109">
        <f t="shared" si="3"/>
        <v>154582202</v>
      </c>
      <c r="K15" s="2109">
        <f t="shared" si="3"/>
        <v>140792875</v>
      </c>
      <c r="L15" s="2109">
        <f t="shared" si="3"/>
        <v>175470500</v>
      </c>
      <c r="M15" s="2109">
        <f t="shared" si="3"/>
        <v>168085136</v>
      </c>
      <c r="N15" s="2039">
        <f t="shared" si="0"/>
        <v>1889211701</v>
      </c>
      <c r="O15" s="313">
        <f>+N15-'52'!Y15</f>
        <v>0</v>
      </c>
      <c r="P15" s="313"/>
    </row>
    <row r="16" spans="1:16" ht="24" customHeight="1">
      <c r="A16" s="2028" t="s">
        <v>436</v>
      </c>
      <c r="B16" s="2111">
        <v>15296127</v>
      </c>
      <c r="C16" s="2112">
        <v>12652134</v>
      </c>
      <c r="D16" s="2113">
        <v>12977787</v>
      </c>
      <c r="E16" s="2112">
        <v>9018202</v>
      </c>
      <c r="F16" s="2113">
        <v>8227081</v>
      </c>
      <c r="G16" s="2113">
        <v>6366210</v>
      </c>
      <c r="H16" s="2113">
        <v>14560221</v>
      </c>
      <c r="I16" s="2112">
        <v>12654865</v>
      </c>
      <c r="J16" s="2113">
        <v>7566205</v>
      </c>
      <c r="K16" s="2112">
        <v>8464614</v>
      </c>
      <c r="L16" s="2113">
        <v>14349161</v>
      </c>
      <c r="M16" s="2112">
        <v>12184162</v>
      </c>
      <c r="N16" s="2114">
        <f t="shared" si="0"/>
        <v>134316769</v>
      </c>
      <c r="O16" s="313">
        <f>+N16-'52'!Y16</f>
        <v>0</v>
      </c>
      <c r="P16" s="313"/>
    </row>
    <row r="17" spans="1:16" ht="24" customHeight="1">
      <c r="A17" s="2028" t="s">
        <v>437</v>
      </c>
      <c r="B17" s="2111">
        <v>6352227</v>
      </c>
      <c r="C17" s="2112">
        <v>9837984</v>
      </c>
      <c r="D17" s="2113">
        <v>6314934</v>
      </c>
      <c r="E17" s="2112">
        <v>5622371</v>
      </c>
      <c r="F17" s="2113">
        <v>2916538</v>
      </c>
      <c r="G17" s="2113">
        <v>5944600</v>
      </c>
      <c r="H17" s="2113">
        <v>5734251</v>
      </c>
      <c r="I17" s="2112">
        <v>7054700</v>
      </c>
      <c r="J17" s="2113">
        <v>4008983</v>
      </c>
      <c r="K17" s="2112">
        <v>5664302</v>
      </c>
      <c r="L17" s="2113">
        <v>8362900</v>
      </c>
      <c r="M17" s="2112">
        <v>5116616</v>
      </c>
      <c r="N17" s="2114">
        <f t="shared" si="0"/>
        <v>72930406</v>
      </c>
      <c r="O17" s="313">
        <f>+N17-'52'!Y17</f>
        <v>0</v>
      </c>
      <c r="P17" s="313"/>
    </row>
    <row r="18" spans="1:16" ht="24" customHeight="1">
      <c r="A18" s="2028" t="s">
        <v>438</v>
      </c>
      <c r="B18" s="2111">
        <v>83275</v>
      </c>
      <c r="C18" s="2112">
        <v>973500</v>
      </c>
      <c r="D18" s="2113">
        <v>74250</v>
      </c>
      <c r="E18" s="2112">
        <v>0</v>
      </c>
      <c r="F18" s="2113">
        <v>0</v>
      </c>
      <c r="G18" s="2113">
        <v>49500</v>
      </c>
      <c r="H18" s="2113">
        <v>817337</v>
      </c>
      <c r="I18" s="2112">
        <v>396815</v>
      </c>
      <c r="J18" s="2113">
        <v>0</v>
      </c>
      <c r="K18" s="2112">
        <v>0</v>
      </c>
      <c r="L18" s="2113">
        <v>0</v>
      </c>
      <c r="M18" s="2112">
        <v>0</v>
      </c>
      <c r="N18" s="2114">
        <f t="shared" si="0"/>
        <v>2394677</v>
      </c>
      <c r="O18" s="313">
        <f>+N18-'52'!Y18</f>
        <v>0</v>
      </c>
      <c r="P18" s="313"/>
    </row>
    <row r="19" spans="1:16" ht="24" customHeight="1">
      <c r="A19" s="2028" t="s">
        <v>439</v>
      </c>
      <c r="B19" s="2111">
        <v>39600295</v>
      </c>
      <c r="C19" s="2112">
        <v>32772759</v>
      </c>
      <c r="D19" s="2113">
        <v>47638085</v>
      </c>
      <c r="E19" s="2112">
        <v>37972526</v>
      </c>
      <c r="F19" s="2113">
        <v>58785600</v>
      </c>
      <c r="G19" s="2113">
        <v>142531731</v>
      </c>
      <c r="H19" s="2113">
        <v>130130698</v>
      </c>
      <c r="I19" s="2112">
        <v>123818582</v>
      </c>
      <c r="J19" s="2113">
        <v>137505916</v>
      </c>
      <c r="K19" s="2112">
        <v>138189477</v>
      </c>
      <c r="L19" s="2113">
        <v>172085044</v>
      </c>
      <c r="M19" s="2112">
        <v>109349211</v>
      </c>
      <c r="N19" s="2114">
        <f t="shared" si="0"/>
        <v>1170379924</v>
      </c>
      <c r="O19" s="313">
        <f>+N19-'52'!Y19</f>
        <v>0</v>
      </c>
      <c r="P19" s="313"/>
    </row>
    <row r="20" spans="1:16" ht="24" customHeight="1">
      <c r="A20" s="2028" t="s">
        <v>440</v>
      </c>
      <c r="B20" s="2111">
        <v>135071535</v>
      </c>
      <c r="C20" s="2112">
        <v>162778386</v>
      </c>
      <c r="D20" s="2113">
        <v>185239879</v>
      </c>
      <c r="E20" s="2112">
        <v>160080811</v>
      </c>
      <c r="F20" s="2113">
        <v>133542318</v>
      </c>
      <c r="G20" s="2113">
        <v>154626750</v>
      </c>
      <c r="H20" s="2113">
        <v>153050937</v>
      </c>
      <c r="I20" s="2112">
        <v>183091732</v>
      </c>
      <c r="J20" s="2113">
        <v>157684190</v>
      </c>
      <c r="K20" s="2112">
        <v>170539473</v>
      </c>
      <c r="L20" s="2113">
        <v>152791810</v>
      </c>
      <c r="M20" s="2112">
        <v>179038230</v>
      </c>
      <c r="N20" s="2114">
        <f t="shared" si="0"/>
        <v>1927536051</v>
      </c>
      <c r="O20" s="313">
        <f>+N20-'52'!Y20</f>
        <v>0</v>
      </c>
      <c r="P20" s="313"/>
    </row>
    <row r="21" spans="1:16" ht="24" customHeight="1" thickBot="1">
      <c r="A21" s="2028" t="s">
        <v>441</v>
      </c>
      <c r="B21" s="2111">
        <v>65906416</v>
      </c>
      <c r="C21" s="2112">
        <v>86282193</v>
      </c>
      <c r="D21" s="2113">
        <v>76330666</v>
      </c>
      <c r="E21" s="2112">
        <v>83094697</v>
      </c>
      <c r="F21" s="2113">
        <v>68603173</v>
      </c>
      <c r="G21" s="2113">
        <v>76555053</v>
      </c>
      <c r="H21" s="2113">
        <v>66016590</v>
      </c>
      <c r="I21" s="2112">
        <v>65339855</v>
      </c>
      <c r="J21" s="2113">
        <v>76485635</v>
      </c>
      <c r="K21" s="2112">
        <v>82161755</v>
      </c>
      <c r="L21" s="2113">
        <v>64048385</v>
      </c>
      <c r="M21" s="2112">
        <v>73252542</v>
      </c>
      <c r="N21" s="2114">
        <f t="shared" si="0"/>
        <v>884076960</v>
      </c>
      <c r="O21" s="313">
        <f>+N21-'52'!Y21</f>
        <v>-6</v>
      </c>
      <c r="P21" s="313"/>
    </row>
    <row r="22" spans="1:16" ht="24" customHeight="1" thickBot="1">
      <c r="A22" s="2023" t="s">
        <v>49</v>
      </c>
      <c r="B22" s="2108">
        <f t="shared" ref="B22:M22" si="4">SUM(B16:B21)</f>
        <v>262309875</v>
      </c>
      <c r="C22" s="2109">
        <f t="shared" si="4"/>
        <v>305296956</v>
      </c>
      <c r="D22" s="2109">
        <f t="shared" si="4"/>
        <v>328575601</v>
      </c>
      <c r="E22" s="2109">
        <f t="shared" si="4"/>
        <v>295788607</v>
      </c>
      <c r="F22" s="2109">
        <f t="shared" si="4"/>
        <v>272074710</v>
      </c>
      <c r="G22" s="2110">
        <f t="shared" si="4"/>
        <v>386073844</v>
      </c>
      <c r="H22" s="2110">
        <f t="shared" si="4"/>
        <v>370310034</v>
      </c>
      <c r="I22" s="2109">
        <f t="shared" si="4"/>
        <v>392356549</v>
      </c>
      <c r="J22" s="2109">
        <f t="shared" si="4"/>
        <v>383250929</v>
      </c>
      <c r="K22" s="2109">
        <f t="shared" si="4"/>
        <v>405019621</v>
      </c>
      <c r="L22" s="2109">
        <f t="shared" si="4"/>
        <v>411637300</v>
      </c>
      <c r="M22" s="2109">
        <f t="shared" si="4"/>
        <v>378940761</v>
      </c>
      <c r="N22" s="2039">
        <f t="shared" si="0"/>
        <v>4191634787</v>
      </c>
      <c r="O22" s="313">
        <f>+N22-'52'!Y22</f>
        <v>-6</v>
      </c>
      <c r="P22" s="313"/>
    </row>
    <row r="23" spans="1:16" ht="24" customHeight="1" thickBot="1">
      <c r="A23" s="2116" t="s">
        <v>442</v>
      </c>
      <c r="B23" s="2117">
        <f t="shared" ref="B23:M23" si="5">+B3+B6+B11+B8+B7+B12+B15+B22</f>
        <v>2637547378</v>
      </c>
      <c r="C23" s="2109">
        <f t="shared" si="5"/>
        <v>2495050181</v>
      </c>
      <c r="D23" s="2109">
        <f t="shared" si="5"/>
        <v>2569898692</v>
      </c>
      <c r="E23" s="2109">
        <f t="shared" si="5"/>
        <v>2245050372</v>
      </c>
      <c r="F23" s="2109">
        <f t="shared" si="5"/>
        <v>2326362206</v>
      </c>
      <c r="G23" s="2110">
        <f t="shared" si="5"/>
        <v>2480738603</v>
      </c>
      <c r="H23" s="2110">
        <f t="shared" si="5"/>
        <v>2517018537</v>
      </c>
      <c r="I23" s="2109">
        <f t="shared" si="5"/>
        <v>2502503221</v>
      </c>
      <c r="J23" s="2109">
        <f t="shared" si="5"/>
        <v>2275369022</v>
      </c>
      <c r="K23" s="2109">
        <f t="shared" si="5"/>
        <v>2206403278</v>
      </c>
      <c r="L23" s="2109">
        <f t="shared" si="5"/>
        <v>2348183180</v>
      </c>
      <c r="M23" s="2109">
        <f t="shared" si="5"/>
        <v>2251752254</v>
      </c>
      <c r="N23" s="2114">
        <f t="shared" si="0"/>
        <v>28855876924</v>
      </c>
      <c r="O23" s="313">
        <f>+N23-'52'!Y23</f>
        <v>0</v>
      </c>
      <c r="P23" s="313"/>
    </row>
    <row r="24" spans="1:16" ht="24" customHeight="1" thickBot="1">
      <c r="A24" s="2116" t="s">
        <v>452</v>
      </c>
      <c r="B24" s="2108">
        <v>10054000</v>
      </c>
      <c r="C24" s="2109">
        <v>10670000</v>
      </c>
      <c r="D24" s="2109">
        <v>10340000</v>
      </c>
      <c r="E24" s="2109">
        <v>10406000</v>
      </c>
      <c r="F24" s="2109">
        <v>11044000</v>
      </c>
      <c r="G24" s="2110">
        <v>11110000</v>
      </c>
      <c r="H24" s="2110">
        <v>10978000</v>
      </c>
      <c r="I24" s="2109">
        <v>11594000</v>
      </c>
      <c r="J24" s="2109">
        <v>11572000</v>
      </c>
      <c r="K24" s="2109">
        <v>11968000</v>
      </c>
      <c r="L24" s="2109">
        <v>11066000</v>
      </c>
      <c r="M24" s="2109">
        <v>10648000</v>
      </c>
      <c r="N24" s="2039">
        <f t="shared" si="0"/>
        <v>131450000</v>
      </c>
      <c r="O24" s="313">
        <f>+N24-'52'!Y24</f>
        <v>0</v>
      </c>
      <c r="P24" s="313"/>
    </row>
    <row r="25" spans="1:16" ht="24" customHeight="1" thickBot="1">
      <c r="A25" s="2023" t="s">
        <v>398</v>
      </c>
      <c r="B25" s="2108">
        <v>13117500</v>
      </c>
      <c r="C25" s="2109">
        <v>11605000</v>
      </c>
      <c r="D25" s="2110">
        <v>12870000</v>
      </c>
      <c r="E25" s="2109">
        <v>10972500</v>
      </c>
      <c r="F25" s="2110">
        <v>11880000</v>
      </c>
      <c r="G25" s="2110">
        <v>12622500</v>
      </c>
      <c r="H25" s="2110">
        <v>12980000</v>
      </c>
      <c r="I25" s="2109">
        <v>12650000</v>
      </c>
      <c r="J25" s="2110">
        <v>12375000</v>
      </c>
      <c r="K25" s="2109">
        <v>13200000</v>
      </c>
      <c r="L25" s="2110">
        <v>12210000</v>
      </c>
      <c r="M25" s="2109">
        <v>11825000</v>
      </c>
      <c r="N25" s="2039">
        <f t="shared" si="0"/>
        <v>148307500</v>
      </c>
      <c r="O25" s="313">
        <f>+N25-'52'!Y25</f>
        <v>0</v>
      </c>
      <c r="P25" s="313"/>
    </row>
    <row r="26" spans="1:16" ht="24" customHeight="1" thickBot="1">
      <c r="A26" s="2054" t="s">
        <v>387</v>
      </c>
      <c r="B26" s="2118">
        <f t="shared" ref="B26:M26" si="6">+B23+B25+B24</f>
        <v>2660718878</v>
      </c>
      <c r="C26" s="2109">
        <f t="shared" si="6"/>
        <v>2517325181</v>
      </c>
      <c r="D26" s="2109">
        <f t="shared" si="6"/>
        <v>2593108692</v>
      </c>
      <c r="E26" s="2109">
        <f t="shared" si="6"/>
        <v>2266428872</v>
      </c>
      <c r="F26" s="2109">
        <f t="shared" si="6"/>
        <v>2349286206</v>
      </c>
      <c r="G26" s="2110">
        <f t="shared" si="6"/>
        <v>2504471103</v>
      </c>
      <c r="H26" s="2110">
        <f t="shared" si="6"/>
        <v>2540976537</v>
      </c>
      <c r="I26" s="2109">
        <f t="shared" si="6"/>
        <v>2526747221</v>
      </c>
      <c r="J26" s="2109">
        <f t="shared" si="6"/>
        <v>2299316022</v>
      </c>
      <c r="K26" s="2109">
        <f t="shared" si="6"/>
        <v>2231571278</v>
      </c>
      <c r="L26" s="2110">
        <f t="shared" si="6"/>
        <v>2371459180</v>
      </c>
      <c r="M26" s="2119">
        <f t="shared" si="6"/>
        <v>2274225254</v>
      </c>
      <c r="N26" s="2059">
        <f t="shared" si="0"/>
        <v>29135634424</v>
      </c>
      <c r="O26" s="313">
        <f>+N26-'52'!Y26</f>
        <v>0</v>
      </c>
      <c r="P26" s="313"/>
    </row>
    <row r="27" spans="1:16" ht="9.75" customHeight="1"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5"/>
      <c r="P27" s="313"/>
    </row>
    <row r="28" spans="1:16">
      <c r="A28" s="316" t="s">
        <v>443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8"/>
    </row>
    <row r="29" spans="1:16" ht="24.75"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20"/>
    </row>
    <row r="30" spans="1:16" ht="18.75"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13"/>
    </row>
    <row r="31" spans="1:16" ht="18.75"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13"/>
    </row>
    <row r="32" spans="1:16"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</row>
    <row r="37" spans="13:13">
      <c r="M37" s="313"/>
    </row>
  </sheetData>
  <mergeCells count="2">
    <mergeCell ref="A1:G1"/>
    <mergeCell ref="H1:N1"/>
  </mergeCells>
  <printOptions horizontalCentered="1" verticalCentered="1"/>
  <pageMargins left="0.19685039370078741" right="0.15748031496062992" top="0.98425196850393704" bottom="0.98425196850393704" header="0.51181102362204722" footer="0.51181102362204722"/>
  <pageSetup paperSize="9" firstPageNumber="5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A1:CT38"/>
  <sheetViews>
    <sheetView rightToLeft="1" topLeftCell="A11" zoomScale="60" zoomScaleNormal="60" workbookViewId="0">
      <selection activeCell="M1" sqref="M1:Y28"/>
    </sheetView>
  </sheetViews>
  <sheetFormatPr defaultColWidth="13.375" defaultRowHeight="15.75"/>
  <cols>
    <col min="1" max="1" width="16.125" style="19" bestFit="1" customWidth="1"/>
    <col min="2" max="2" width="12.25" style="19" bestFit="1" customWidth="1"/>
    <col min="3" max="3" width="10.875" style="19" bestFit="1" customWidth="1"/>
    <col min="4" max="4" width="12.25" style="19" bestFit="1" customWidth="1"/>
    <col min="5" max="5" width="10.875" style="19" bestFit="1" customWidth="1"/>
    <col min="6" max="6" width="12.25" style="19" bestFit="1" customWidth="1"/>
    <col min="7" max="7" width="9.875" style="19" bestFit="1" customWidth="1"/>
    <col min="8" max="8" width="12.25" style="19" bestFit="1" customWidth="1"/>
    <col min="9" max="9" width="9.875" style="19" bestFit="1" customWidth="1"/>
    <col min="10" max="10" width="12.25" style="19" bestFit="1" customWidth="1"/>
    <col min="11" max="12" width="10.875" style="19" bestFit="1" customWidth="1"/>
    <col min="13" max="13" width="10.875" style="19" customWidth="1"/>
    <col min="14" max="14" width="9.875" style="19" bestFit="1" customWidth="1"/>
    <col min="15" max="20" width="10.875" style="19" bestFit="1" customWidth="1"/>
    <col min="21" max="22" width="12.25" style="19" bestFit="1" customWidth="1"/>
    <col min="23" max="24" width="10.875" style="19" bestFit="1" customWidth="1"/>
    <col min="25" max="25" width="13.375" style="19" bestFit="1" customWidth="1"/>
    <col min="26" max="16384" width="13.375" style="19"/>
  </cols>
  <sheetData>
    <row r="1" spans="1:98" ht="39" customHeight="1" thickBot="1">
      <c r="A1" s="2857" t="s">
        <v>2034</v>
      </c>
      <c r="B1" s="2857"/>
      <c r="C1" s="2857"/>
      <c r="D1" s="2857"/>
      <c r="E1" s="2857"/>
      <c r="F1" s="2857"/>
      <c r="G1" s="2857"/>
      <c r="H1" s="2857"/>
      <c r="I1" s="2857"/>
      <c r="J1" s="2857"/>
      <c r="K1" s="2857"/>
      <c r="L1" s="2857"/>
      <c r="M1" s="2858" t="s">
        <v>2035</v>
      </c>
      <c r="N1" s="2858"/>
      <c r="O1" s="2858"/>
      <c r="P1" s="2858"/>
      <c r="Q1" s="2858"/>
      <c r="R1" s="2858"/>
      <c r="S1" s="2858"/>
      <c r="T1" s="2858"/>
      <c r="U1" s="2858"/>
      <c r="V1" s="2858"/>
      <c r="W1" s="2858"/>
      <c r="X1" s="2858"/>
      <c r="Y1" s="2858"/>
    </row>
    <row r="2" spans="1:98" ht="78.75" customHeight="1" thickBot="1">
      <c r="A2" s="2007" t="s">
        <v>1</v>
      </c>
      <c r="B2" s="2120" t="s">
        <v>78</v>
      </c>
      <c r="C2" s="2019" t="s">
        <v>70</v>
      </c>
      <c r="D2" s="2019" t="s">
        <v>79</v>
      </c>
      <c r="E2" s="2019" t="s">
        <v>71</v>
      </c>
      <c r="F2" s="2019" t="s">
        <v>68</v>
      </c>
      <c r="G2" s="2019" t="s">
        <v>82</v>
      </c>
      <c r="H2" s="2020" t="s">
        <v>76</v>
      </c>
      <c r="I2" s="2020" t="s">
        <v>86</v>
      </c>
      <c r="J2" s="2020" t="s">
        <v>84</v>
      </c>
      <c r="K2" s="2018" t="s">
        <v>72</v>
      </c>
      <c r="L2" s="2021" t="s">
        <v>73</v>
      </c>
      <c r="M2" s="2020" t="s">
        <v>74</v>
      </c>
      <c r="N2" s="2019" t="s">
        <v>75</v>
      </c>
      <c r="O2" s="2019" t="s">
        <v>77</v>
      </c>
      <c r="P2" s="2019" t="s">
        <v>88</v>
      </c>
      <c r="Q2" s="2019" t="s">
        <v>85</v>
      </c>
      <c r="R2" s="2019" t="s">
        <v>87</v>
      </c>
      <c r="S2" s="2019" t="s">
        <v>81</v>
      </c>
      <c r="T2" s="2019" t="s">
        <v>69</v>
      </c>
      <c r="U2" s="2019" t="s">
        <v>83</v>
      </c>
      <c r="V2" s="2019" t="s">
        <v>80</v>
      </c>
      <c r="W2" s="2019" t="s">
        <v>453</v>
      </c>
      <c r="X2" s="2121" t="s">
        <v>398</v>
      </c>
      <c r="Y2" s="2007" t="s">
        <v>49</v>
      </c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</row>
    <row r="3" spans="1:98" ht="33" customHeight="1" thickBot="1">
      <c r="A3" s="1993" t="s">
        <v>417</v>
      </c>
      <c r="B3" s="2109">
        <v>57844446</v>
      </c>
      <c r="C3" s="2109">
        <v>680103038</v>
      </c>
      <c r="D3" s="2109">
        <v>838489733</v>
      </c>
      <c r="E3" s="2109">
        <v>802871316</v>
      </c>
      <c r="F3" s="2110">
        <v>3926937</v>
      </c>
      <c r="G3" s="2110">
        <v>34500</v>
      </c>
      <c r="H3" s="2110">
        <v>56196584</v>
      </c>
      <c r="I3" s="2109">
        <v>9582340</v>
      </c>
      <c r="J3" s="2110">
        <v>0</v>
      </c>
      <c r="K3" s="2110">
        <v>155018</v>
      </c>
      <c r="L3" s="2115">
        <v>0</v>
      </c>
      <c r="M3" s="2110">
        <v>155750</v>
      </c>
      <c r="N3" s="2109">
        <v>906900</v>
      </c>
      <c r="O3" s="2110">
        <v>0</v>
      </c>
      <c r="P3" s="2109">
        <v>0</v>
      </c>
      <c r="Q3" s="2109">
        <v>81592</v>
      </c>
      <c r="R3" s="2109">
        <v>0</v>
      </c>
      <c r="S3" s="2110">
        <v>0</v>
      </c>
      <c r="T3" s="2109">
        <v>503250</v>
      </c>
      <c r="U3" s="2109">
        <v>962747654</v>
      </c>
      <c r="V3" s="2109">
        <v>151095</v>
      </c>
      <c r="W3" s="2109">
        <v>0</v>
      </c>
      <c r="X3" s="2119">
        <v>0</v>
      </c>
      <c r="Y3" s="2122">
        <f>SUM(B3:X3)</f>
        <v>3413750153</v>
      </c>
      <c r="Z3" s="75"/>
      <c r="AA3" s="322"/>
    </row>
    <row r="4" spans="1:98" ht="33" customHeight="1">
      <c r="A4" s="1998" t="s">
        <v>419</v>
      </c>
      <c r="B4" s="2112">
        <v>502211</v>
      </c>
      <c r="C4" s="2112">
        <v>0</v>
      </c>
      <c r="D4" s="2112">
        <v>0</v>
      </c>
      <c r="E4" s="2112">
        <v>0</v>
      </c>
      <c r="F4" s="2113">
        <v>184428370</v>
      </c>
      <c r="G4" s="2113">
        <v>37950</v>
      </c>
      <c r="H4" s="2113">
        <v>301983</v>
      </c>
      <c r="I4" s="2112">
        <v>0</v>
      </c>
      <c r="J4" s="2113">
        <v>407166315</v>
      </c>
      <c r="K4" s="2113">
        <v>126973049</v>
      </c>
      <c r="L4" s="2730">
        <v>190050</v>
      </c>
      <c r="M4" s="2113">
        <v>174002340</v>
      </c>
      <c r="N4" s="2112">
        <v>8400</v>
      </c>
      <c r="O4" s="2112">
        <v>0</v>
      </c>
      <c r="P4" s="2112">
        <v>0</v>
      </c>
      <c r="Q4" s="2112">
        <v>0</v>
      </c>
      <c r="R4" s="2113">
        <v>0</v>
      </c>
      <c r="S4" s="2113">
        <v>123852039</v>
      </c>
      <c r="T4" s="2112">
        <v>0</v>
      </c>
      <c r="U4" s="2112">
        <v>0</v>
      </c>
      <c r="V4" s="2112">
        <v>0</v>
      </c>
      <c r="W4" s="2112">
        <v>0</v>
      </c>
      <c r="X4" s="2124">
        <v>0</v>
      </c>
      <c r="Y4" s="2125">
        <f t="shared" ref="Y4:Y18" si="0">SUM(B4:X4)</f>
        <v>1017462707</v>
      </c>
      <c r="AA4" s="322"/>
    </row>
    <row r="5" spans="1:98" ht="33" customHeight="1" thickBot="1">
      <c r="A5" s="1998" t="s">
        <v>421</v>
      </c>
      <c r="B5" s="2112">
        <v>93386828</v>
      </c>
      <c r="C5" s="2112">
        <v>0</v>
      </c>
      <c r="D5" s="2112">
        <v>92901864</v>
      </c>
      <c r="E5" s="2112">
        <v>0</v>
      </c>
      <c r="F5" s="2113">
        <v>439950</v>
      </c>
      <c r="G5" s="2113">
        <v>0</v>
      </c>
      <c r="H5" s="2113">
        <v>129512</v>
      </c>
      <c r="I5" s="2112">
        <v>0</v>
      </c>
      <c r="J5" s="2113">
        <v>7229540029</v>
      </c>
      <c r="K5" s="2113">
        <v>0</v>
      </c>
      <c r="L5" s="2730">
        <v>917791</v>
      </c>
      <c r="M5" s="2113">
        <v>0</v>
      </c>
      <c r="N5" s="2112">
        <v>8135400</v>
      </c>
      <c r="O5" s="2112">
        <v>34265200</v>
      </c>
      <c r="P5" s="2112">
        <v>0</v>
      </c>
      <c r="Q5" s="2112">
        <v>34241419</v>
      </c>
      <c r="R5" s="2113">
        <v>0</v>
      </c>
      <c r="S5" s="2113">
        <v>657557810</v>
      </c>
      <c r="T5" s="2112">
        <v>0</v>
      </c>
      <c r="U5" s="2112">
        <v>1815432106</v>
      </c>
      <c r="V5" s="2112">
        <v>5059155452</v>
      </c>
      <c r="W5" s="2112">
        <v>0</v>
      </c>
      <c r="X5" s="2124">
        <v>0</v>
      </c>
      <c r="Y5" s="2125">
        <f t="shared" si="0"/>
        <v>15026103361</v>
      </c>
      <c r="AA5" s="322"/>
    </row>
    <row r="6" spans="1:98" ht="30.75" customHeight="1" thickBot="1">
      <c r="A6" s="1993" t="s">
        <v>423</v>
      </c>
      <c r="B6" s="2110">
        <f>SUM(B4:B5)</f>
        <v>93889039</v>
      </c>
      <c r="C6" s="2110">
        <f>SUM(C4:C5)</f>
        <v>0</v>
      </c>
      <c r="D6" s="2110">
        <f>SUM(D4:D5)</f>
        <v>92901864</v>
      </c>
      <c r="E6" s="2110">
        <f t="shared" ref="E6:X6" si="1">SUM(E4:E5)</f>
        <v>0</v>
      </c>
      <c r="F6" s="2110">
        <f t="shared" si="1"/>
        <v>184868320</v>
      </c>
      <c r="G6" s="2110">
        <f t="shared" si="1"/>
        <v>37950</v>
      </c>
      <c r="H6" s="2110">
        <f t="shared" si="1"/>
        <v>431495</v>
      </c>
      <c r="I6" s="2110">
        <f t="shared" si="1"/>
        <v>0</v>
      </c>
      <c r="J6" s="2110">
        <f t="shared" si="1"/>
        <v>7636706344</v>
      </c>
      <c r="K6" s="2110">
        <f t="shared" si="1"/>
        <v>126973049</v>
      </c>
      <c r="L6" s="2115">
        <f t="shared" si="1"/>
        <v>1107841</v>
      </c>
      <c r="M6" s="2110">
        <f t="shared" si="1"/>
        <v>174002340</v>
      </c>
      <c r="N6" s="2110">
        <f t="shared" si="1"/>
        <v>8143800</v>
      </c>
      <c r="O6" s="2110">
        <f t="shared" si="1"/>
        <v>34265200</v>
      </c>
      <c r="P6" s="2110">
        <f t="shared" si="1"/>
        <v>0</v>
      </c>
      <c r="Q6" s="2110">
        <f t="shared" si="1"/>
        <v>34241419</v>
      </c>
      <c r="R6" s="2110">
        <f t="shared" si="1"/>
        <v>0</v>
      </c>
      <c r="S6" s="2110">
        <f t="shared" si="1"/>
        <v>781409849</v>
      </c>
      <c r="T6" s="2110">
        <f t="shared" si="1"/>
        <v>0</v>
      </c>
      <c r="U6" s="2110">
        <f t="shared" si="1"/>
        <v>1815432106</v>
      </c>
      <c r="V6" s="2110">
        <f t="shared" si="1"/>
        <v>5059155452</v>
      </c>
      <c r="W6" s="2110">
        <f t="shared" si="1"/>
        <v>0</v>
      </c>
      <c r="X6" s="2110">
        <f t="shared" si="1"/>
        <v>0</v>
      </c>
      <c r="Y6" s="1983">
        <f t="shared" si="0"/>
        <v>16043566068</v>
      </c>
      <c r="AA6" s="322"/>
    </row>
    <row r="7" spans="1:98" ht="31.5" customHeight="1" thickBot="1">
      <c r="A7" s="1993" t="s">
        <v>425</v>
      </c>
      <c r="B7" s="2110">
        <v>1640086</v>
      </c>
      <c r="C7" s="2109">
        <v>57750</v>
      </c>
      <c r="D7" s="2109">
        <v>211408319</v>
      </c>
      <c r="E7" s="2109">
        <v>7748341</v>
      </c>
      <c r="F7" s="2110">
        <v>0</v>
      </c>
      <c r="G7" s="2110">
        <v>322200</v>
      </c>
      <c r="H7" s="2110">
        <v>43940295</v>
      </c>
      <c r="I7" s="2110">
        <v>0</v>
      </c>
      <c r="J7" s="2110">
        <v>65364454</v>
      </c>
      <c r="K7" s="2110">
        <v>0</v>
      </c>
      <c r="L7" s="2115">
        <v>150900</v>
      </c>
      <c r="M7" s="2110">
        <v>42971568</v>
      </c>
      <c r="N7" s="2109">
        <v>7427700</v>
      </c>
      <c r="O7" s="2109">
        <v>0</v>
      </c>
      <c r="P7" s="2110">
        <v>4717530</v>
      </c>
      <c r="Q7" s="2109">
        <v>0</v>
      </c>
      <c r="R7" s="2110">
        <v>70499869</v>
      </c>
      <c r="S7" s="2110">
        <v>0</v>
      </c>
      <c r="T7" s="2109">
        <v>184737549</v>
      </c>
      <c r="U7" s="2109">
        <v>1313818</v>
      </c>
      <c r="V7" s="2109">
        <v>61385</v>
      </c>
      <c r="W7" s="2109">
        <v>0</v>
      </c>
      <c r="X7" s="2119">
        <v>0</v>
      </c>
      <c r="Y7" s="1983">
        <f t="shared" si="0"/>
        <v>642361764</v>
      </c>
      <c r="AA7" s="322"/>
    </row>
    <row r="8" spans="1:98" ht="32.25" customHeight="1" thickBot="1">
      <c r="A8" s="1993" t="s">
        <v>427</v>
      </c>
      <c r="B8" s="2109">
        <v>25325173</v>
      </c>
      <c r="C8" s="2109">
        <v>27309900</v>
      </c>
      <c r="D8" s="2109">
        <v>30581069</v>
      </c>
      <c r="E8" s="2109">
        <v>30886241</v>
      </c>
      <c r="F8" s="2110">
        <v>8154198</v>
      </c>
      <c r="G8" s="2110">
        <v>6173289</v>
      </c>
      <c r="H8" s="2110">
        <v>13872926</v>
      </c>
      <c r="I8" s="2109">
        <v>6253500</v>
      </c>
      <c r="J8" s="2110">
        <v>724589</v>
      </c>
      <c r="K8" s="2110">
        <v>4520636</v>
      </c>
      <c r="L8" s="2115">
        <v>19104806</v>
      </c>
      <c r="M8" s="2110">
        <v>3757812</v>
      </c>
      <c r="N8" s="2109">
        <v>67200</v>
      </c>
      <c r="O8" s="2109">
        <v>7928100</v>
      </c>
      <c r="P8" s="2109">
        <v>41041897</v>
      </c>
      <c r="Q8" s="2109">
        <v>5905702</v>
      </c>
      <c r="R8" s="2110">
        <v>28761043</v>
      </c>
      <c r="S8" s="2110">
        <v>10689020</v>
      </c>
      <c r="T8" s="2109">
        <v>297145</v>
      </c>
      <c r="U8" s="2109">
        <v>9116215</v>
      </c>
      <c r="V8" s="2109">
        <v>21742270</v>
      </c>
      <c r="W8" s="2109">
        <v>0</v>
      </c>
      <c r="X8" s="2119">
        <v>0</v>
      </c>
      <c r="Y8" s="1983">
        <f t="shared" si="0"/>
        <v>302212731</v>
      </c>
      <c r="AA8" s="322"/>
    </row>
    <row r="9" spans="1:98" ht="33.75" customHeight="1">
      <c r="A9" s="1998" t="s">
        <v>429</v>
      </c>
      <c r="B9" s="2113">
        <v>1120485</v>
      </c>
      <c r="C9" s="2112">
        <v>123954212</v>
      </c>
      <c r="D9" s="2112">
        <v>0</v>
      </c>
      <c r="E9" s="2112">
        <v>223841</v>
      </c>
      <c r="F9" s="2113">
        <v>1051684447</v>
      </c>
      <c r="G9" s="2113">
        <v>0</v>
      </c>
      <c r="H9" s="2113">
        <v>521818</v>
      </c>
      <c r="I9" s="2113">
        <v>65580466</v>
      </c>
      <c r="J9" s="2113">
        <v>0</v>
      </c>
      <c r="K9" s="2113">
        <v>8500166</v>
      </c>
      <c r="L9" s="2730">
        <v>15480195</v>
      </c>
      <c r="M9" s="2113">
        <v>0</v>
      </c>
      <c r="N9" s="2112">
        <v>16219675</v>
      </c>
      <c r="O9" s="2112">
        <v>37670957</v>
      </c>
      <c r="P9" s="2113">
        <v>79677217</v>
      </c>
      <c r="Q9" s="2112">
        <v>75543805</v>
      </c>
      <c r="R9" s="2113">
        <v>533499</v>
      </c>
      <c r="S9" s="2113">
        <v>0</v>
      </c>
      <c r="T9" s="2112">
        <v>16331243</v>
      </c>
      <c r="U9" s="2112">
        <v>272290966</v>
      </c>
      <c r="V9" s="2112">
        <v>0</v>
      </c>
      <c r="W9" s="2112">
        <v>0</v>
      </c>
      <c r="X9" s="2124">
        <v>0</v>
      </c>
      <c r="Y9" s="2125">
        <f t="shared" si="0"/>
        <v>1765332992</v>
      </c>
      <c r="AA9" s="322"/>
    </row>
    <row r="10" spans="1:98" ht="34.5" customHeight="1" thickBot="1">
      <c r="A10" s="1998" t="s">
        <v>432</v>
      </c>
      <c r="B10" s="2113">
        <v>23305484</v>
      </c>
      <c r="C10" s="2112">
        <v>0</v>
      </c>
      <c r="D10" s="2112">
        <v>170712</v>
      </c>
      <c r="E10" s="2112">
        <v>1229112</v>
      </c>
      <c r="F10" s="2113">
        <v>2247842</v>
      </c>
      <c r="G10" s="2113">
        <v>58650</v>
      </c>
      <c r="H10" s="2113">
        <v>23256683</v>
      </c>
      <c r="I10" s="2113">
        <v>0</v>
      </c>
      <c r="J10" s="2113">
        <v>8250</v>
      </c>
      <c r="K10" s="2113">
        <v>0</v>
      </c>
      <c r="L10" s="2730">
        <v>12471585</v>
      </c>
      <c r="M10" s="2113">
        <v>7302944</v>
      </c>
      <c r="N10" s="2112">
        <v>11548649</v>
      </c>
      <c r="O10" s="2112">
        <v>897012</v>
      </c>
      <c r="P10" s="2113">
        <v>0</v>
      </c>
      <c r="Q10" s="2112">
        <v>31133419</v>
      </c>
      <c r="R10" s="2113">
        <v>595057</v>
      </c>
      <c r="S10" s="2113">
        <v>0</v>
      </c>
      <c r="T10" s="2112">
        <v>0</v>
      </c>
      <c r="U10" s="2112">
        <v>109970</v>
      </c>
      <c r="V10" s="2112">
        <v>0</v>
      </c>
      <c r="W10" s="2112">
        <v>0</v>
      </c>
      <c r="X10" s="2124">
        <v>0</v>
      </c>
      <c r="Y10" s="2126">
        <f t="shared" si="0"/>
        <v>114335369</v>
      </c>
      <c r="AA10" s="322"/>
    </row>
    <row r="11" spans="1:98" ht="29.25" customHeight="1" thickBot="1">
      <c r="A11" s="1993" t="s">
        <v>49</v>
      </c>
      <c r="B11" s="2110">
        <f>SUM(B9:B10)</f>
        <v>24425969</v>
      </c>
      <c r="C11" s="2110">
        <f>SUM(C9:C10)</f>
        <v>123954212</v>
      </c>
      <c r="D11" s="2110">
        <f t="shared" ref="D11:X11" si="2">SUM(D9:D10)</f>
        <v>170712</v>
      </c>
      <c r="E11" s="2110">
        <f t="shared" si="2"/>
        <v>1452953</v>
      </c>
      <c r="F11" s="2110">
        <f t="shared" si="2"/>
        <v>1053932289</v>
      </c>
      <c r="G11" s="2110">
        <f t="shared" si="2"/>
        <v>58650</v>
      </c>
      <c r="H11" s="2110">
        <f t="shared" si="2"/>
        <v>23778501</v>
      </c>
      <c r="I11" s="2110">
        <f t="shared" si="2"/>
        <v>65580466</v>
      </c>
      <c r="J11" s="2110">
        <f t="shared" si="2"/>
        <v>8250</v>
      </c>
      <c r="K11" s="2110">
        <f t="shared" si="2"/>
        <v>8500166</v>
      </c>
      <c r="L11" s="2115">
        <f t="shared" si="2"/>
        <v>27951780</v>
      </c>
      <c r="M11" s="2110">
        <f t="shared" si="2"/>
        <v>7302944</v>
      </c>
      <c r="N11" s="2110">
        <f t="shared" si="2"/>
        <v>27768324</v>
      </c>
      <c r="O11" s="2110">
        <f t="shared" si="2"/>
        <v>38567969</v>
      </c>
      <c r="P11" s="2110">
        <f t="shared" si="2"/>
        <v>79677217</v>
      </c>
      <c r="Q11" s="2110">
        <f t="shared" si="2"/>
        <v>106677224</v>
      </c>
      <c r="R11" s="2110">
        <f t="shared" si="2"/>
        <v>1128556</v>
      </c>
      <c r="S11" s="2110">
        <f t="shared" si="2"/>
        <v>0</v>
      </c>
      <c r="T11" s="2110">
        <f t="shared" si="2"/>
        <v>16331243</v>
      </c>
      <c r="U11" s="2110">
        <f t="shared" si="2"/>
        <v>272400936</v>
      </c>
      <c r="V11" s="2110">
        <f t="shared" si="2"/>
        <v>0</v>
      </c>
      <c r="W11" s="2110">
        <f t="shared" si="2"/>
        <v>0</v>
      </c>
      <c r="X11" s="2110">
        <f t="shared" si="2"/>
        <v>0</v>
      </c>
      <c r="Y11" s="2122">
        <f t="shared" si="0"/>
        <v>1879668361</v>
      </c>
      <c r="AA11" s="322"/>
    </row>
    <row r="12" spans="1:98" ht="31.5" customHeight="1" thickBot="1">
      <c r="A12" s="1993" t="s">
        <v>433</v>
      </c>
      <c r="B12" s="2110">
        <v>20044466</v>
      </c>
      <c r="C12" s="2109">
        <v>0</v>
      </c>
      <c r="D12" s="2109">
        <v>149492</v>
      </c>
      <c r="E12" s="2109">
        <v>4638760</v>
      </c>
      <c r="F12" s="2110">
        <v>407015275</v>
      </c>
      <c r="G12" s="2110">
        <v>335765</v>
      </c>
      <c r="H12" s="2110">
        <v>6139040</v>
      </c>
      <c r="I12" s="2110">
        <v>8250</v>
      </c>
      <c r="J12" s="2110">
        <v>0</v>
      </c>
      <c r="K12" s="2110">
        <v>7485850</v>
      </c>
      <c r="L12" s="2115">
        <v>31344900</v>
      </c>
      <c r="M12" s="2110">
        <v>0</v>
      </c>
      <c r="N12" s="2109">
        <v>10837050</v>
      </c>
      <c r="O12" s="2110">
        <v>320433</v>
      </c>
      <c r="P12" s="2110">
        <v>0</v>
      </c>
      <c r="Q12" s="2109">
        <v>0</v>
      </c>
      <c r="R12" s="2110">
        <v>0</v>
      </c>
      <c r="S12" s="2110">
        <v>0</v>
      </c>
      <c r="T12" s="2110">
        <v>0</v>
      </c>
      <c r="U12" s="2110">
        <v>5152072</v>
      </c>
      <c r="V12" s="2110">
        <v>0</v>
      </c>
      <c r="W12" s="2109">
        <v>0</v>
      </c>
      <c r="X12" s="2109">
        <v>0</v>
      </c>
      <c r="Y12" s="1983">
        <f t="shared" si="0"/>
        <v>493471353</v>
      </c>
      <c r="AA12" s="322"/>
    </row>
    <row r="13" spans="1:98" ht="29.25" customHeight="1">
      <c r="A13" s="1998" t="s">
        <v>434</v>
      </c>
      <c r="B13" s="2113">
        <v>20425713</v>
      </c>
      <c r="C13" s="2112">
        <v>865597</v>
      </c>
      <c r="D13" s="2112">
        <v>925263495</v>
      </c>
      <c r="E13" s="2112">
        <v>12435558</v>
      </c>
      <c r="F13" s="2113">
        <v>191131026</v>
      </c>
      <c r="G13" s="2113">
        <v>13800</v>
      </c>
      <c r="H13" s="2113">
        <v>180353346</v>
      </c>
      <c r="I13" s="2113">
        <v>16500</v>
      </c>
      <c r="J13" s="2113">
        <v>127417</v>
      </c>
      <c r="K13" s="2113">
        <v>0</v>
      </c>
      <c r="L13" s="2730">
        <v>0</v>
      </c>
      <c r="M13" s="2113">
        <v>80944</v>
      </c>
      <c r="N13" s="2112">
        <v>4461600</v>
      </c>
      <c r="O13" s="2112">
        <v>24525887</v>
      </c>
      <c r="P13" s="2113">
        <v>199800</v>
      </c>
      <c r="Q13" s="2112">
        <v>1929910</v>
      </c>
      <c r="R13" s="2113">
        <v>14199344</v>
      </c>
      <c r="S13" s="2113">
        <v>65569681</v>
      </c>
      <c r="T13" s="2112">
        <v>49500</v>
      </c>
      <c r="U13" s="2112">
        <v>278608673</v>
      </c>
      <c r="V13" s="2112">
        <v>88153059</v>
      </c>
      <c r="W13" s="2112">
        <v>0</v>
      </c>
      <c r="X13" s="2124">
        <v>0</v>
      </c>
      <c r="Y13" s="2125">
        <f>SUM(B13:X13)</f>
        <v>1808410850</v>
      </c>
      <c r="AA13" s="322"/>
    </row>
    <row r="14" spans="1:98" ht="36.75" customHeight="1" thickBot="1">
      <c r="A14" s="2127" t="s">
        <v>435</v>
      </c>
      <c r="B14" s="2113">
        <v>7909491</v>
      </c>
      <c r="C14" s="2112">
        <v>0</v>
      </c>
      <c r="D14" s="2112">
        <v>0</v>
      </c>
      <c r="E14" s="2112">
        <v>0</v>
      </c>
      <c r="F14" s="2113">
        <v>66755167</v>
      </c>
      <c r="G14" s="2113">
        <v>0</v>
      </c>
      <c r="H14" s="2113">
        <v>63206</v>
      </c>
      <c r="I14" s="2113">
        <v>0</v>
      </c>
      <c r="J14" s="2113">
        <v>0</v>
      </c>
      <c r="K14" s="2113">
        <v>0</v>
      </c>
      <c r="L14" s="2730">
        <v>0</v>
      </c>
      <c r="M14" s="2113">
        <v>6062787</v>
      </c>
      <c r="N14" s="2112">
        <v>10200</v>
      </c>
      <c r="O14" s="2112">
        <v>0</v>
      </c>
      <c r="P14" s="2113">
        <v>0</v>
      </c>
      <c r="Q14" s="2112">
        <v>0</v>
      </c>
      <c r="R14" s="2113">
        <v>0</v>
      </c>
      <c r="S14" s="2113">
        <v>0</v>
      </c>
      <c r="T14" s="2112">
        <v>0</v>
      </c>
      <c r="U14" s="2112">
        <v>0</v>
      </c>
      <c r="V14" s="2112">
        <v>0</v>
      </c>
      <c r="W14" s="2112">
        <v>0</v>
      </c>
      <c r="X14" s="2124">
        <v>0</v>
      </c>
      <c r="Y14" s="2125">
        <f>SUM(B14:X14)</f>
        <v>80800851</v>
      </c>
      <c r="Z14" s="75"/>
      <c r="AA14" s="322"/>
    </row>
    <row r="15" spans="1:98" ht="29.25" customHeight="1" thickBot="1">
      <c r="A15" s="1993" t="s">
        <v>49</v>
      </c>
      <c r="B15" s="2109">
        <f>SUM(B13:B14)</f>
        <v>28335204</v>
      </c>
      <c r="C15" s="2109">
        <f>SUM(C13:C14)</f>
        <v>865597</v>
      </c>
      <c r="D15" s="2109">
        <f>SUM(D13:D14)</f>
        <v>925263495</v>
      </c>
      <c r="E15" s="2109">
        <f t="shared" ref="E15:X15" si="3">SUM(E13:E14)</f>
        <v>12435558</v>
      </c>
      <c r="F15" s="2109">
        <f t="shared" si="3"/>
        <v>257886193</v>
      </c>
      <c r="G15" s="2109">
        <f t="shared" si="3"/>
        <v>13800</v>
      </c>
      <c r="H15" s="2109">
        <f t="shared" si="3"/>
        <v>180416552</v>
      </c>
      <c r="I15" s="2109">
        <f t="shared" si="3"/>
        <v>16500</v>
      </c>
      <c r="J15" s="2109">
        <f t="shared" si="3"/>
        <v>127417</v>
      </c>
      <c r="K15" s="2110">
        <f t="shared" si="3"/>
        <v>0</v>
      </c>
      <c r="L15" s="2115">
        <f t="shared" si="3"/>
        <v>0</v>
      </c>
      <c r="M15" s="2110">
        <f t="shared" si="3"/>
        <v>6143731</v>
      </c>
      <c r="N15" s="2109">
        <f t="shared" si="3"/>
        <v>4471800</v>
      </c>
      <c r="O15" s="2109">
        <f t="shared" si="3"/>
        <v>24525887</v>
      </c>
      <c r="P15" s="2109">
        <f t="shared" si="3"/>
        <v>199800</v>
      </c>
      <c r="Q15" s="2109">
        <f t="shared" si="3"/>
        <v>1929910</v>
      </c>
      <c r="R15" s="2109">
        <f t="shared" si="3"/>
        <v>14199344</v>
      </c>
      <c r="S15" s="2109">
        <f t="shared" si="3"/>
        <v>65569681</v>
      </c>
      <c r="T15" s="2109">
        <f t="shared" si="3"/>
        <v>49500</v>
      </c>
      <c r="U15" s="2109">
        <f t="shared" si="3"/>
        <v>278608673</v>
      </c>
      <c r="V15" s="2109">
        <f t="shared" si="3"/>
        <v>88153059</v>
      </c>
      <c r="W15" s="2109">
        <f t="shared" si="3"/>
        <v>0</v>
      </c>
      <c r="X15" s="2109">
        <f t="shared" si="3"/>
        <v>0</v>
      </c>
      <c r="Y15" s="1983">
        <f>SUM(B15:X15)</f>
        <v>1889211701</v>
      </c>
      <c r="Z15" s="75"/>
      <c r="AA15" s="322"/>
    </row>
    <row r="16" spans="1:98" ht="32.25" customHeight="1">
      <c r="A16" s="1998" t="s">
        <v>436</v>
      </c>
      <c r="B16" s="2113">
        <v>89291489</v>
      </c>
      <c r="C16" s="2112">
        <v>0</v>
      </c>
      <c r="D16" s="2112">
        <v>0</v>
      </c>
      <c r="E16" s="2112">
        <v>0</v>
      </c>
      <c r="F16" s="2113">
        <v>10379277</v>
      </c>
      <c r="G16" s="2113">
        <v>0</v>
      </c>
      <c r="H16" s="2113">
        <v>652103</v>
      </c>
      <c r="I16" s="2113">
        <v>0</v>
      </c>
      <c r="J16" s="2113">
        <v>0</v>
      </c>
      <c r="K16" s="2113">
        <v>0</v>
      </c>
      <c r="L16" s="2730">
        <v>33989250</v>
      </c>
      <c r="M16" s="2113">
        <v>0</v>
      </c>
      <c r="N16" s="2112">
        <v>4650</v>
      </c>
      <c r="O16" s="2112">
        <v>0</v>
      </c>
      <c r="P16" s="2113">
        <v>0</v>
      </c>
      <c r="Q16" s="2112">
        <v>0</v>
      </c>
      <c r="R16" s="2113">
        <v>0</v>
      </c>
      <c r="S16" s="2113">
        <v>0</v>
      </c>
      <c r="T16" s="2112">
        <v>0</v>
      </c>
      <c r="U16" s="2112">
        <v>0</v>
      </c>
      <c r="V16" s="2112">
        <v>0</v>
      </c>
      <c r="W16" s="2112">
        <v>0</v>
      </c>
      <c r="X16" s="2124">
        <v>0</v>
      </c>
      <c r="Y16" s="2125">
        <f t="shared" si="0"/>
        <v>134316769</v>
      </c>
      <c r="AA16" s="322"/>
    </row>
    <row r="17" spans="1:27" ht="32.25" customHeight="1">
      <c r="A17" s="1998" t="s">
        <v>437</v>
      </c>
      <c r="B17" s="2113">
        <v>13220833</v>
      </c>
      <c r="C17" s="2112">
        <v>0</v>
      </c>
      <c r="D17" s="2112">
        <v>1289551</v>
      </c>
      <c r="E17" s="2112">
        <v>24978244</v>
      </c>
      <c r="F17" s="2113">
        <v>0</v>
      </c>
      <c r="G17" s="2113">
        <v>0</v>
      </c>
      <c r="H17" s="2113">
        <v>15900475</v>
      </c>
      <c r="I17" s="2113">
        <v>8250</v>
      </c>
      <c r="J17" s="2113">
        <v>0</v>
      </c>
      <c r="K17" s="2113">
        <v>0</v>
      </c>
      <c r="L17" s="2730">
        <v>3600</v>
      </c>
      <c r="M17" s="2113">
        <v>14914</v>
      </c>
      <c r="N17" s="2112">
        <v>0</v>
      </c>
      <c r="O17" s="2112">
        <v>0</v>
      </c>
      <c r="P17" s="2113">
        <v>0</v>
      </c>
      <c r="Q17" s="2112">
        <v>4532876</v>
      </c>
      <c r="R17" s="2113">
        <v>0</v>
      </c>
      <c r="S17" s="2113">
        <v>12981663</v>
      </c>
      <c r="T17" s="2112">
        <v>0</v>
      </c>
      <c r="U17" s="2112">
        <v>0</v>
      </c>
      <c r="V17" s="2112">
        <v>0</v>
      </c>
      <c r="W17" s="2112">
        <v>0</v>
      </c>
      <c r="X17" s="2124">
        <v>0</v>
      </c>
      <c r="Y17" s="2125">
        <f t="shared" si="0"/>
        <v>72930406</v>
      </c>
      <c r="AA17" s="322"/>
    </row>
    <row r="18" spans="1:27" ht="32.25" customHeight="1">
      <c r="A18" s="1998" t="s">
        <v>438</v>
      </c>
      <c r="B18" s="2113">
        <v>0</v>
      </c>
      <c r="C18" s="2112">
        <v>0</v>
      </c>
      <c r="D18" s="2112">
        <v>0</v>
      </c>
      <c r="E18" s="2112">
        <v>0</v>
      </c>
      <c r="F18" s="2113">
        <v>0</v>
      </c>
      <c r="G18" s="2113">
        <v>0</v>
      </c>
      <c r="H18" s="2113">
        <v>0</v>
      </c>
      <c r="I18" s="2113">
        <v>1131025</v>
      </c>
      <c r="J18" s="2113">
        <v>0</v>
      </c>
      <c r="K18" s="2113">
        <v>0</v>
      </c>
      <c r="L18" s="2730">
        <v>0</v>
      </c>
      <c r="M18" s="2113">
        <v>0</v>
      </c>
      <c r="N18" s="2112">
        <v>0</v>
      </c>
      <c r="O18" s="2112">
        <v>0</v>
      </c>
      <c r="P18" s="2113">
        <v>0</v>
      </c>
      <c r="Q18" s="2112">
        <v>0</v>
      </c>
      <c r="R18" s="2113">
        <v>0</v>
      </c>
      <c r="S18" s="2113">
        <v>0</v>
      </c>
      <c r="T18" s="2112">
        <v>1263652</v>
      </c>
      <c r="U18" s="2112">
        <v>0</v>
      </c>
      <c r="V18" s="2112">
        <v>0</v>
      </c>
      <c r="W18" s="2112">
        <v>0</v>
      </c>
      <c r="X18" s="2124">
        <v>0</v>
      </c>
      <c r="Y18" s="2125">
        <f t="shared" si="0"/>
        <v>2394677</v>
      </c>
      <c r="AA18" s="322"/>
    </row>
    <row r="19" spans="1:27" ht="32.25" customHeight="1">
      <c r="A19" s="1998" t="s">
        <v>439</v>
      </c>
      <c r="B19" s="2113">
        <v>10831744</v>
      </c>
      <c r="C19" s="2112">
        <v>0</v>
      </c>
      <c r="D19" s="2112">
        <v>0</v>
      </c>
      <c r="E19" s="2112">
        <v>0</v>
      </c>
      <c r="F19" s="2113">
        <v>0</v>
      </c>
      <c r="G19" s="2113">
        <v>4249050</v>
      </c>
      <c r="H19" s="2113">
        <v>1155060976</v>
      </c>
      <c r="I19" s="2113">
        <v>0</v>
      </c>
      <c r="J19" s="2113">
        <v>0</v>
      </c>
      <c r="K19" s="2113">
        <v>0</v>
      </c>
      <c r="L19" s="2730">
        <v>238154</v>
      </c>
      <c r="M19" s="2113">
        <v>0</v>
      </c>
      <c r="N19" s="2112">
        <v>0</v>
      </c>
      <c r="O19" s="2112">
        <v>0</v>
      </c>
      <c r="P19" s="2113">
        <v>0</v>
      </c>
      <c r="Q19" s="2112">
        <v>0</v>
      </c>
      <c r="R19" s="2113">
        <v>0</v>
      </c>
      <c r="S19" s="2113">
        <v>0</v>
      </c>
      <c r="T19" s="2112">
        <v>0</v>
      </c>
      <c r="U19" s="2112">
        <v>0</v>
      </c>
      <c r="V19" s="2112">
        <v>0</v>
      </c>
      <c r="W19" s="2112">
        <v>0</v>
      </c>
      <c r="X19" s="2124">
        <v>0</v>
      </c>
      <c r="Y19" s="2125">
        <f>SUM(B19:X19)</f>
        <v>1170379924</v>
      </c>
      <c r="AA19" s="322"/>
    </row>
    <row r="20" spans="1:27" ht="32.25" customHeight="1">
      <c r="A20" s="1998" t="s">
        <v>440</v>
      </c>
      <c r="B20" s="2113">
        <v>712604546</v>
      </c>
      <c r="C20" s="2112">
        <v>140950592</v>
      </c>
      <c r="D20" s="2112">
        <v>40354124</v>
      </c>
      <c r="E20" s="2112">
        <v>61284997</v>
      </c>
      <c r="F20" s="2113">
        <v>60068310</v>
      </c>
      <c r="G20" s="2113">
        <v>0</v>
      </c>
      <c r="H20" s="2113">
        <v>41098402</v>
      </c>
      <c r="I20" s="2113">
        <v>0</v>
      </c>
      <c r="J20" s="2113">
        <v>0</v>
      </c>
      <c r="K20" s="2113">
        <v>47035</v>
      </c>
      <c r="L20" s="2730">
        <v>2013210</v>
      </c>
      <c r="M20" s="2113">
        <v>102555268</v>
      </c>
      <c r="N20" s="2112">
        <v>4512660</v>
      </c>
      <c r="O20" s="2112">
        <v>0</v>
      </c>
      <c r="P20" s="2113">
        <v>0</v>
      </c>
      <c r="Q20" s="2112">
        <v>3098271</v>
      </c>
      <c r="R20" s="2113">
        <v>56170677</v>
      </c>
      <c r="S20" s="2113">
        <v>2173513</v>
      </c>
      <c r="T20" s="2112">
        <v>955198</v>
      </c>
      <c r="U20" s="2112">
        <v>698894317</v>
      </c>
      <c r="V20" s="2112">
        <v>754931</v>
      </c>
      <c r="W20" s="2112">
        <v>0</v>
      </c>
      <c r="X20" s="2124">
        <v>0</v>
      </c>
      <c r="Y20" s="2125">
        <f>SUM(B20:X20)</f>
        <v>1927536051</v>
      </c>
      <c r="AA20" s="322"/>
    </row>
    <row r="21" spans="1:27" ht="32.25" customHeight="1" thickBot="1">
      <c r="A21" s="1998" t="s">
        <v>441</v>
      </c>
      <c r="B21" s="2113">
        <v>49570721</v>
      </c>
      <c r="C21" s="2112">
        <f>8707447+6</f>
        <v>8707453</v>
      </c>
      <c r="D21" s="2112">
        <v>42401731</v>
      </c>
      <c r="E21" s="2112">
        <v>43112661</v>
      </c>
      <c r="F21" s="2128">
        <v>50857619</v>
      </c>
      <c r="G21" s="2128">
        <v>12257171</v>
      </c>
      <c r="H21" s="2128">
        <v>274380607</v>
      </c>
      <c r="I21" s="2113">
        <v>13609031</v>
      </c>
      <c r="J21" s="2113">
        <v>53175199</v>
      </c>
      <c r="K21" s="2113">
        <v>7395563</v>
      </c>
      <c r="L21" s="2730">
        <v>82752135</v>
      </c>
      <c r="M21" s="2113">
        <v>31846912</v>
      </c>
      <c r="N21" s="2112">
        <v>24698538</v>
      </c>
      <c r="O21" s="2112">
        <v>4176862</v>
      </c>
      <c r="P21" s="2113">
        <v>3610559</v>
      </c>
      <c r="Q21" s="2112">
        <v>7924267</v>
      </c>
      <c r="R21" s="2113">
        <v>21404264</v>
      </c>
      <c r="S21" s="2113">
        <v>7928265</v>
      </c>
      <c r="T21" s="2112">
        <v>9586311</v>
      </c>
      <c r="U21" s="2112">
        <v>83760805</v>
      </c>
      <c r="V21" s="2112">
        <v>50920292</v>
      </c>
      <c r="W21" s="2112">
        <v>0</v>
      </c>
      <c r="X21" s="2124">
        <v>0</v>
      </c>
      <c r="Y21" s="2125">
        <f>SUM(B21:X21)</f>
        <v>884076966</v>
      </c>
      <c r="AA21" s="322"/>
    </row>
    <row r="22" spans="1:27" ht="29.25" customHeight="1" thickBot="1">
      <c r="A22" s="1993" t="s">
        <v>49</v>
      </c>
      <c r="B22" s="2117">
        <f t="shared" ref="B22:X22" si="4">SUM(B16:B21)</f>
        <v>875519333</v>
      </c>
      <c r="C22" s="2109">
        <f t="shared" si="4"/>
        <v>149658045</v>
      </c>
      <c r="D22" s="2110">
        <f t="shared" si="4"/>
        <v>84045406</v>
      </c>
      <c r="E22" s="2109">
        <f t="shared" si="4"/>
        <v>129375902</v>
      </c>
      <c r="F22" s="2110">
        <f t="shared" si="4"/>
        <v>121305206</v>
      </c>
      <c r="G22" s="2110">
        <f t="shared" si="4"/>
        <v>16506221</v>
      </c>
      <c r="H22" s="2110">
        <f t="shared" si="4"/>
        <v>1487092563</v>
      </c>
      <c r="I22" s="2110">
        <f t="shared" si="4"/>
        <v>14748306</v>
      </c>
      <c r="J22" s="2110">
        <f t="shared" si="4"/>
        <v>53175199</v>
      </c>
      <c r="K22" s="2734">
        <f t="shared" si="4"/>
        <v>7442598</v>
      </c>
      <c r="L22" s="2735">
        <f t="shared" si="4"/>
        <v>118996349</v>
      </c>
      <c r="M22" s="2734">
        <f t="shared" si="4"/>
        <v>134417094</v>
      </c>
      <c r="N22" s="2110">
        <f t="shared" si="4"/>
        <v>29215848</v>
      </c>
      <c r="O22" s="2110">
        <f t="shared" si="4"/>
        <v>4176862</v>
      </c>
      <c r="P22" s="2110">
        <f t="shared" si="4"/>
        <v>3610559</v>
      </c>
      <c r="Q22" s="2110">
        <f t="shared" si="4"/>
        <v>15555414</v>
      </c>
      <c r="R22" s="2110">
        <f t="shared" si="4"/>
        <v>77574941</v>
      </c>
      <c r="S22" s="2110">
        <f t="shared" si="4"/>
        <v>23083441</v>
      </c>
      <c r="T22" s="2109">
        <f t="shared" si="4"/>
        <v>11805161</v>
      </c>
      <c r="U22" s="2109">
        <f t="shared" si="4"/>
        <v>782655122</v>
      </c>
      <c r="V22" s="2109">
        <f t="shared" si="4"/>
        <v>51675223</v>
      </c>
      <c r="W22" s="2109">
        <f t="shared" si="4"/>
        <v>0</v>
      </c>
      <c r="X22" s="2109">
        <f t="shared" si="4"/>
        <v>0</v>
      </c>
      <c r="Y22" s="1983">
        <f>SUM(B22:X22)</f>
        <v>4191634793</v>
      </c>
      <c r="AA22" s="322"/>
    </row>
    <row r="23" spans="1:27" ht="33" customHeight="1" thickBot="1">
      <c r="A23" s="2129" t="s">
        <v>442</v>
      </c>
      <c r="B23" s="2123">
        <f t="shared" ref="B23:V23" si="5">SUM(B7,B3,B6,B11,B12,B15,B22,B8)</f>
        <v>1127023716</v>
      </c>
      <c r="C23" s="2110">
        <f t="shared" si="5"/>
        <v>981948542</v>
      </c>
      <c r="D23" s="2110">
        <f t="shared" si="5"/>
        <v>2183010090</v>
      </c>
      <c r="E23" s="2109">
        <f t="shared" si="5"/>
        <v>989409071</v>
      </c>
      <c r="F23" s="2110">
        <f t="shared" si="5"/>
        <v>2037088418</v>
      </c>
      <c r="G23" s="2110">
        <f t="shared" si="5"/>
        <v>23482375</v>
      </c>
      <c r="H23" s="2110">
        <f t="shared" si="5"/>
        <v>1811867956</v>
      </c>
      <c r="I23" s="2110">
        <f t="shared" si="5"/>
        <v>96189362</v>
      </c>
      <c r="J23" s="2110">
        <f t="shared" si="5"/>
        <v>7756106253</v>
      </c>
      <c r="K23" s="2110">
        <f t="shared" si="5"/>
        <v>155077317</v>
      </c>
      <c r="L23" s="2115">
        <f t="shared" si="5"/>
        <v>198656576</v>
      </c>
      <c r="M23" s="2110">
        <f t="shared" si="5"/>
        <v>368751239</v>
      </c>
      <c r="N23" s="2110">
        <f t="shared" si="5"/>
        <v>88838622</v>
      </c>
      <c r="O23" s="2110">
        <f t="shared" si="5"/>
        <v>109784451</v>
      </c>
      <c r="P23" s="2110">
        <f t="shared" si="5"/>
        <v>129247003</v>
      </c>
      <c r="Q23" s="2110">
        <f t="shared" si="5"/>
        <v>164391261</v>
      </c>
      <c r="R23" s="2110">
        <f t="shared" si="5"/>
        <v>192163753</v>
      </c>
      <c r="S23" s="2110">
        <f t="shared" si="5"/>
        <v>880751991</v>
      </c>
      <c r="T23" s="2110">
        <f t="shared" si="5"/>
        <v>213723848</v>
      </c>
      <c r="U23" s="2110">
        <f>SUM(U7,U3,U6,U11,U12,U15,U22,U8)</f>
        <v>4127426596</v>
      </c>
      <c r="V23" s="2110">
        <f t="shared" si="5"/>
        <v>5220938484</v>
      </c>
      <c r="W23" s="2110">
        <f>SUM(W7,W3,W6,W11,W12,W15,W22,W8)</f>
        <v>0</v>
      </c>
      <c r="X23" s="2109">
        <f t="shared" ref="X23" si="6">SUM(X7,X3,X6,X11,X12,X15,X22,X8)</f>
        <v>0</v>
      </c>
      <c r="Y23" s="2125">
        <f>SUM(B23:X23)</f>
        <v>28855876924</v>
      </c>
      <c r="AA23" s="322"/>
    </row>
    <row r="24" spans="1:27" ht="25.5" customHeight="1" thickBot="1">
      <c r="A24" s="2130" t="s">
        <v>404</v>
      </c>
      <c r="B24" s="2051">
        <v>0</v>
      </c>
      <c r="C24" s="2051">
        <v>0</v>
      </c>
      <c r="D24" s="2051">
        <v>0</v>
      </c>
      <c r="E24" s="2051">
        <v>0</v>
      </c>
      <c r="F24" s="2131">
        <v>0</v>
      </c>
      <c r="G24" s="2051">
        <v>0</v>
      </c>
      <c r="H24" s="2051">
        <v>0</v>
      </c>
      <c r="I24" s="2051">
        <v>0</v>
      </c>
      <c r="J24" s="2051">
        <v>0</v>
      </c>
      <c r="K24" s="2131">
        <v>0</v>
      </c>
      <c r="L24" s="2731">
        <v>0</v>
      </c>
      <c r="M24" s="2131">
        <v>0</v>
      </c>
      <c r="N24" s="2051">
        <v>0</v>
      </c>
      <c r="O24" s="2051">
        <v>0</v>
      </c>
      <c r="P24" s="2051">
        <v>0</v>
      </c>
      <c r="Q24" s="2051">
        <v>0</v>
      </c>
      <c r="R24" s="2051">
        <v>0</v>
      </c>
      <c r="S24" s="2051">
        <v>0</v>
      </c>
      <c r="T24" s="2051">
        <v>0</v>
      </c>
      <c r="U24" s="2051">
        <v>0</v>
      </c>
      <c r="V24" s="2051">
        <v>0</v>
      </c>
      <c r="W24" s="2051">
        <v>131450000</v>
      </c>
      <c r="X24" s="2132">
        <v>0</v>
      </c>
      <c r="Y24" s="1983">
        <f>SUM(W24:X24)</f>
        <v>131450000</v>
      </c>
      <c r="AA24" s="322"/>
    </row>
    <row r="25" spans="1:27" ht="24" customHeight="1" thickBot="1">
      <c r="A25" s="2133" t="s">
        <v>398</v>
      </c>
      <c r="B25" s="2134">
        <v>0</v>
      </c>
      <c r="C25" s="2134">
        <v>0</v>
      </c>
      <c r="D25" s="2134">
        <v>0</v>
      </c>
      <c r="E25" s="2134">
        <v>0</v>
      </c>
      <c r="F25" s="2135">
        <v>0</v>
      </c>
      <c r="G25" s="2134">
        <v>0</v>
      </c>
      <c r="H25" s="2134">
        <v>0</v>
      </c>
      <c r="I25" s="2134">
        <v>0</v>
      </c>
      <c r="J25" s="2134">
        <v>0</v>
      </c>
      <c r="K25" s="2135">
        <v>0</v>
      </c>
      <c r="L25" s="2732">
        <v>0</v>
      </c>
      <c r="M25" s="2135">
        <v>0</v>
      </c>
      <c r="N25" s="2134">
        <v>0</v>
      </c>
      <c r="O25" s="2134">
        <v>0</v>
      </c>
      <c r="P25" s="2134">
        <v>0</v>
      </c>
      <c r="Q25" s="2134">
        <v>0</v>
      </c>
      <c r="R25" s="2134">
        <v>0</v>
      </c>
      <c r="S25" s="2134">
        <v>0</v>
      </c>
      <c r="T25" s="2134">
        <v>0</v>
      </c>
      <c r="U25" s="2134">
        <v>0</v>
      </c>
      <c r="V25" s="2134">
        <v>0</v>
      </c>
      <c r="W25" s="2112">
        <v>0</v>
      </c>
      <c r="X25" s="2124">
        <v>148307500</v>
      </c>
      <c r="Y25" s="2136">
        <f>SUM(X25)</f>
        <v>148307500</v>
      </c>
      <c r="Z25" s="75"/>
      <c r="AA25" s="322"/>
    </row>
    <row r="26" spans="1:27" ht="36.75" customHeight="1" thickBot="1">
      <c r="A26" s="2133" t="s">
        <v>387</v>
      </c>
      <c r="B26" s="2137">
        <f t="shared" ref="B26:V26" si="7">SUM(B23:B25)</f>
        <v>1127023716</v>
      </c>
      <c r="C26" s="1981">
        <f t="shared" si="7"/>
        <v>981948542</v>
      </c>
      <c r="D26" s="1980">
        <f t="shared" si="7"/>
        <v>2183010090</v>
      </c>
      <c r="E26" s="1981">
        <f t="shared" si="7"/>
        <v>989409071</v>
      </c>
      <c r="F26" s="1980">
        <f t="shared" si="7"/>
        <v>2037088418</v>
      </c>
      <c r="G26" s="1980">
        <f t="shared" si="7"/>
        <v>23482375</v>
      </c>
      <c r="H26" s="1980">
        <f t="shared" si="7"/>
        <v>1811867956</v>
      </c>
      <c r="I26" s="1980">
        <f t="shared" si="7"/>
        <v>96189362</v>
      </c>
      <c r="J26" s="1980">
        <f t="shared" si="7"/>
        <v>7756106253</v>
      </c>
      <c r="K26" s="2033">
        <f t="shared" si="7"/>
        <v>155077317</v>
      </c>
      <c r="L26" s="2733">
        <f t="shared" si="7"/>
        <v>198656576</v>
      </c>
      <c r="M26" s="2033">
        <f t="shared" si="7"/>
        <v>368751239</v>
      </c>
      <c r="N26" s="2033">
        <f t="shared" si="7"/>
        <v>88838622</v>
      </c>
      <c r="O26" s="2033">
        <f t="shared" si="7"/>
        <v>109784451</v>
      </c>
      <c r="P26" s="2033">
        <f t="shared" si="7"/>
        <v>129247003</v>
      </c>
      <c r="Q26" s="2033">
        <f t="shared" si="7"/>
        <v>164391261</v>
      </c>
      <c r="R26" s="2033">
        <f t="shared" si="7"/>
        <v>192163753</v>
      </c>
      <c r="S26" s="2034">
        <f t="shared" si="7"/>
        <v>880751991</v>
      </c>
      <c r="T26" s="2034">
        <f t="shared" si="7"/>
        <v>213723848</v>
      </c>
      <c r="U26" s="2034">
        <f t="shared" si="7"/>
        <v>4127426596</v>
      </c>
      <c r="V26" s="2034">
        <f t="shared" si="7"/>
        <v>5220938484</v>
      </c>
      <c r="W26" s="2034">
        <f>SUM(W3:W25)</f>
        <v>131450000</v>
      </c>
      <c r="X26" s="2034">
        <f>SUM(X3:X25)</f>
        <v>148307500</v>
      </c>
      <c r="Y26" s="2136">
        <f>SUM(B26:X26)</f>
        <v>29135634424</v>
      </c>
      <c r="Z26" s="75"/>
      <c r="AA26" s="322"/>
    </row>
    <row r="27" spans="1:27" ht="7.5" customHeight="1"/>
    <row r="28" spans="1:27">
      <c r="A28" s="289" t="s">
        <v>443</v>
      </c>
      <c r="B28" s="290"/>
      <c r="C28" s="291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1"/>
      <c r="Z28" s="75"/>
    </row>
    <row r="29" spans="1:27" ht="85.5" customHeight="1">
      <c r="E29" s="2997" t="s">
        <v>454</v>
      </c>
      <c r="F29" s="2997"/>
      <c r="G29" s="2997"/>
      <c r="H29" s="2997"/>
      <c r="I29" s="2997"/>
      <c r="Y29" s="75"/>
      <c r="Z29" s="75"/>
    </row>
    <row r="38" spans="15:15">
      <c r="O38" s="19" t="s">
        <v>455</v>
      </c>
    </row>
  </sheetData>
  <mergeCells count="3">
    <mergeCell ref="E29:I29"/>
    <mergeCell ref="A1:L1"/>
    <mergeCell ref="M1:Y1"/>
  </mergeCells>
  <printOptions horizontalCentered="1" verticalCentered="1"/>
  <pageMargins left="0.19685039370078741" right="0.19685039370078741" top="0.98425196850393704" bottom="0.98425196850393704" header="0" footer="0"/>
  <pageSetup paperSize="9" scale="65" firstPageNumber="52" fitToHeight="2" pageOrder="overThenDown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8:N59"/>
  <sheetViews>
    <sheetView rightToLeft="1" workbookViewId="0">
      <selection activeCell="A39" sqref="A1:E39"/>
    </sheetView>
  </sheetViews>
  <sheetFormatPr defaultColWidth="7" defaultRowHeight="15.75"/>
  <cols>
    <col min="1" max="1" width="16.25" style="19" customWidth="1"/>
    <col min="2" max="3" width="13.75" style="19" customWidth="1"/>
    <col min="4" max="5" width="11.875" style="19" customWidth="1"/>
    <col min="6" max="6" width="7" style="19"/>
    <col min="7" max="7" width="7.625" style="19" customWidth="1"/>
    <col min="8" max="8" width="8" style="19" customWidth="1"/>
    <col min="9" max="9" width="10.375" style="19" bestFit="1" customWidth="1"/>
    <col min="10" max="10" width="14.25" style="19" customWidth="1"/>
    <col min="11" max="13" width="7" style="19"/>
    <col min="14" max="14" width="13.375" style="19" customWidth="1"/>
    <col min="15" max="16384" width="7" style="19"/>
  </cols>
  <sheetData>
    <row r="18" spans="1:14">
      <c r="I18" s="26"/>
    </row>
    <row r="19" spans="1:14" ht="20.25" customHeight="1">
      <c r="A19" s="2936" t="s">
        <v>456</v>
      </c>
      <c r="B19" s="2936"/>
      <c r="C19" s="2936"/>
      <c r="D19" s="2936"/>
      <c r="E19" s="2936"/>
      <c r="I19" s="26"/>
    </row>
    <row r="20" spans="1:14" ht="15" customHeight="1" thickBot="1">
      <c r="A20" s="2998" t="s">
        <v>306</v>
      </c>
      <c r="B20" s="2998"/>
      <c r="C20" s="2998"/>
      <c r="D20" s="2998"/>
      <c r="E20" s="2998"/>
      <c r="I20" s="25"/>
      <c r="J20" s="22"/>
      <c r="K20" s="22"/>
      <c r="L20" s="22"/>
      <c r="M20" s="22"/>
      <c r="N20" s="22"/>
    </row>
    <row r="21" spans="1:14" ht="20.25" customHeight="1">
      <c r="A21" s="2961" t="s">
        <v>1</v>
      </c>
      <c r="B21" s="2963" t="s">
        <v>283</v>
      </c>
      <c r="C21" s="2964"/>
      <c r="D21" s="2965" t="s">
        <v>318</v>
      </c>
      <c r="E21" s="2967" t="s">
        <v>284</v>
      </c>
      <c r="I21" s="22"/>
      <c r="J21" s="22"/>
      <c r="K21" s="22"/>
      <c r="L21" s="22"/>
      <c r="M21" s="22"/>
      <c r="N21" s="22"/>
    </row>
    <row r="22" spans="1:14" ht="20.25" customHeight="1" thickBot="1">
      <c r="A22" s="2962"/>
      <c r="B22" s="253">
        <v>1400</v>
      </c>
      <c r="C22" s="253">
        <v>1401</v>
      </c>
      <c r="D22" s="2966"/>
      <c r="E22" s="2968"/>
      <c r="G22" s="19" t="s">
        <v>457</v>
      </c>
      <c r="H22" s="19" t="s">
        <v>458</v>
      </c>
      <c r="I22" s="22"/>
      <c r="J22" s="22"/>
      <c r="K22" s="22"/>
      <c r="L22" s="22"/>
      <c r="M22" s="22"/>
      <c r="N22" s="22"/>
    </row>
    <row r="23" spans="1:14" ht="16.5" customHeight="1">
      <c r="A23" s="92" t="s">
        <v>37</v>
      </c>
      <c r="B23" s="323">
        <v>3910735.4079999994</v>
      </c>
      <c r="C23" s="323">
        <v>4024791.9070000001</v>
      </c>
      <c r="D23" s="266">
        <f t="shared" ref="D23:D34" si="0">C23-B23</f>
        <v>114056.49900000077</v>
      </c>
      <c r="E23" s="324">
        <f t="shared" ref="E23:E34" si="1">D23/B23</f>
        <v>2.91649746404937E-2</v>
      </c>
      <c r="G23" s="325">
        <v>1218727.148</v>
      </c>
      <c r="H23" s="26">
        <v>2806064.7590000001</v>
      </c>
      <c r="I23" s="25">
        <f>SUM(G23:H23)</f>
        <v>4024791.9070000001</v>
      </c>
      <c r="J23" s="22"/>
      <c r="K23" s="22"/>
      <c r="L23" s="22"/>
      <c r="M23" s="22"/>
      <c r="N23" s="22"/>
    </row>
    <row r="24" spans="1:14" ht="16.5" customHeight="1">
      <c r="A24" s="92" t="s">
        <v>38</v>
      </c>
      <c r="B24" s="323">
        <v>3766097.2280000011</v>
      </c>
      <c r="C24" s="323">
        <v>4056131.04</v>
      </c>
      <c r="D24" s="266">
        <f t="shared" si="0"/>
        <v>290033.81199999899</v>
      </c>
      <c r="E24" s="324">
        <f t="shared" si="1"/>
        <v>7.7011769596299684E-2</v>
      </c>
      <c r="G24" s="325">
        <v>1257991.1310000001</v>
      </c>
      <c r="H24" s="26">
        <v>2798139.909</v>
      </c>
      <c r="I24" s="25">
        <f t="shared" ref="I24:I34" si="2">SUM(G24:H24)</f>
        <v>4056131.04</v>
      </c>
      <c r="J24" s="22"/>
      <c r="K24" s="22"/>
      <c r="L24" s="22"/>
      <c r="M24" s="22"/>
      <c r="N24" s="22"/>
    </row>
    <row r="25" spans="1:14" ht="16.5" customHeight="1">
      <c r="A25" s="92" t="s">
        <v>39</v>
      </c>
      <c r="B25" s="323">
        <v>3606387.7650000001</v>
      </c>
      <c r="C25" s="323">
        <v>3941277.8300000005</v>
      </c>
      <c r="D25" s="266">
        <f t="shared" si="0"/>
        <v>334890.06500000041</v>
      </c>
      <c r="E25" s="324">
        <f t="shared" si="1"/>
        <v>9.2860248764736031E-2</v>
      </c>
      <c r="G25" s="325">
        <v>1440849.6500000004</v>
      </c>
      <c r="H25" s="26">
        <v>2500428.1800000002</v>
      </c>
      <c r="I25" s="25">
        <f t="shared" si="2"/>
        <v>3941277.8300000005</v>
      </c>
      <c r="J25" s="22"/>
      <c r="K25" s="22"/>
      <c r="L25" s="22"/>
      <c r="M25" s="22"/>
      <c r="N25" s="22"/>
    </row>
    <row r="26" spans="1:14" ht="16.5" customHeight="1">
      <c r="A26" s="92" t="s">
        <v>40</v>
      </c>
      <c r="B26" s="323">
        <v>3593870.9799999977</v>
      </c>
      <c r="C26" s="323">
        <v>3677945.1940000001</v>
      </c>
      <c r="D26" s="266">
        <f t="shared" si="0"/>
        <v>84074.214000002481</v>
      </c>
      <c r="E26" s="324">
        <f t="shared" si="1"/>
        <v>2.339377636756524E-2</v>
      </c>
      <c r="G26" s="325">
        <v>1473463.5079999999</v>
      </c>
      <c r="H26" s="26">
        <v>2204481.6860000002</v>
      </c>
      <c r="I26" s="25">
        <f t="shared" si="2"/>
        <v>3677945.1940000001</v>
      </c>
      <c r="J26" s="22"/>
      <c r="K26" s="22"/>
      <c r="L26" s="22"/>
      <c r="M26" s="22"/>
      <c r="N26" s="22"/>
    </row>
    <row r="27" spans="1:14" ht="16.5" customHeight="1">
      <c r="A27" s="92" t="s">
        <v>41</v>
      </c>
      <c r="B27" s="323">
        <v>3357281.0949999997</v>
      </c>
      <c r="C27" s="323">
        <v>3675000.3079999997</v>
      </c>
      <c r="D27" s="266">
        <f t="shared" si="0"/>
        <v>317719.21299999999</v>
      </c>
      <c r="E27" s="324">
        <f t="shared" si="1"/>
        <v>9.4635868731152525E-2</v>
      </c>
      <c r="G27" s="325">
        <v>1410936.5699999998</v>
      </c>
      <c r="H27" s="26">
        <v>2264063.7379999999</v>
      </c>
      <c r="I27" s="25">
        <f t="shared" si="2"/>
        <v>3675000.3079999997</v>
      </c>
      <c r="J27" s="22"/>
      <c r="K27" s="22"/>
      <c r="L27" s="22"/>
      <c r="M27" s="22"/>
      <c r="N27" s="22"/>
    </row>
    <row r="28" spans="1:14" ht="16.5" customHeight="1">
      <c r="A28" s="92" t="s">
        <v>42</v>
      </c>
      <c r="B28" s="323">
        <v>3557738.1400000006</v>
      </c>
      <c r="C28" s="323">
        <v>3901539.7719999999</v>
      </c>
      <c r="D28" s="266">
        <f t="shared" si="0"/>
        <v>343801.63199999928</v>
      </c>
      <c r="E28" s="324">
        <f t="shared" si="1"/>
        <v>9.6634889491894763E-2</v>
      </c>
      <c r="G28" s="325">
        <v>1503354.5020000001</v>
      </c>
      <c r="H28" s="26">
        <v>2398185.27</v>
      </c>
      <c r="I28" s="25">
        <f t="shared" si="2"/>
        <v>3901539.7719999999</v>
      </c>
      <c r="J28" s="22"/>
      <c r="K28" s="22"/>
      <c r="L28" s="22"/>
      <c r="M28" s="22"/>
      <c r="N28" s="22"/>
    </row>
    <row r="29" spans="1:14" ht="16.5" customHeight="1">
      <c r="A29" s="92" t="s">
        <v>43</v>
      </c>
      <c r="B29" s="323">
        <v>3649765.5220000017</v>
      </c>
      <c r="C29" s="323">
        <v>3649922.4119999995</v>
      </c>
      <c r="D29" s="266">
        <f t="shared" si="0"/>
        <v>156.88999999780208</v>
      </c>
      <c r="E29" s="324">
        <f t="shared" si="1"/>
        <v>4.2986323108184046E-5</v>
      </c>
      <c r="G29" s="325">
        <v>1325255.848</v>
      </c>
      <c r="H29" s="26">
        <v>2324666.5639999998</v>
      </c>
      <c r="I29" s="25">
        <f t="shared" si="2"/>
        <v>3649922.4119999995</v>
      </c>
      <c r="J29" s="22"/>
      <c r="K29" s="22"/>
      <c r="L29" s="22"/>
      <c r="M29" s="22"/>
      <c r="N29" s="22"/>
    </row>
    <row r="30" spans="1:14" ht="16.5" customHeight="1">
      <c r="A30" s="92" t="s">
        <v>405</v>
      </c>
      <c r="B30" s="323">
        <v>3833205.1470000008</v>
      </c>
      <c r="C30" s="323">
        <v>3863351.4790000003</v>
      </c>
      <c r="D30" s="266">
        <f t="shared" si="0"/>
        <v>30146.331999999471</v>
      </c>
      <c r="E30" s="324">
        <f t="shared" si="1"/>
        <v>7.8645235107213177E-3</v>
      </c>
      <c r="G30" s="325">
        <v>1216794.9770000002</v>
      </c>
      <c r="H30" s="26">
        <v>2646556.5019999999</v>
      </c>
      <c r="I30" s="25">
        <f t="shared" si="2"/>
        <v>3863351.4790000003</v>
      </c>
      <c r="J30" s="22"/>
      <c r="K30" s="22"/>
      <c r="L30" s="22"/>
      <c r="M30" s="22"/>
      <c r="N30" s="22"/>
    </row>
    <row r="31" spans="1:14" ht="16.5" customHeight="1">
      <c r="A31" s="92" t="s">
        <v>45</v>
      </c>
      <c r="B31" s="323">
        <v>3740042.9699999997</v>
      </c>
      <c r="C31" s="323">
        <v>3811041.608</v>
      </c>
      <c r="D31" s="266">
        <f t="shared" si="0"/>
        <v>70998.638000000268</v>
      </c>
      <c r="E31" s="324">
        <f t="shared" si="1"/>
        <v>1.8983374942347326E-2</v>
      </c>
      <c r="G31" s="325">
        <v>1209099.1269999999</v>
      </c>
      <c r="H31" s="26">
        <v>2601942.4810000001</v>
      </c>
      <c r="I31" s="25">
        <f t="shared" si="2"/>
        <v>3811041.608</v>
      </c>
      <c r="J31" s="22"/>
      <c r="K31" s="22"/>
      <c r="L31" s="22"/>
      <c r="M31" s="22"/>
      <c r="N31" s="22"/>
    </row>
    <row r="32" spans="1:14" ht="16.5" customHeight="1">
      <c r="A32" s="92" t="s">
        <v>406</v>
      </c>
      <c r="B32" s="323">
        <v>3633425.3809999996</v>
      </c>
      <c r="C32" s="323">
        <v>3720951.1830000002</v>
      </c>
      <c r="D32" s="266">
        <f t="shared" si="0"/>
        <v>87525.802000000607</v>
      </c>
      <c r="E32" s="324">
        <f t="shared" si="1"/>
        <v>2.4089059997679532E-2</v>
      </c>
      <c r="G32" s="325">
        <v>1177077.601</v>
      </c>
      <c r="H32" s="26">
        <v>2543873.5819999999</v>
      </c>
      <c r="I32" s="25">
        <f t="shared" si="2"/>
        <v>3720951.1830000002</v>
      </c>
      <c r="J32" s="22"/>
      <c r="K32" s="22"/>
      <c r="L32" s="22"/>
      <c r="M32" s="22"/>
      <c r="N32" s="22"/>
    </row>
    <row r="33" spans="1:14" ht="16.5" customHeight="1">
      <c r="A33" s="92" t="s">
        <v>47</v>
      </c>
      <c r="B33" s="323">
        <v>3773497.8719999995</v>
      </c>
      <c r="C33" s="323">
        <v>3970744.7069999999</v>
      </c>
      <c r="D33" s="266">
        <f t="shared" si="0"/>
        <v>197246.83500000043</v>
      </c>
      <c r="E33" s="324">
        <f t="shared" si="1"/>
        <v>5.2271616863389728E-2</v>
      </c>
      <c r="G33" s="325">
        <v>1339380.8539999998</v>
      </c>
      <c r="H33" s="26">
        <v>2631363.8530000001</v>
      </c>
      <c r="I33" s="25">
        <f t="shared" si="2"/>
        <v>3970744.7069999999</v>
      </c>
      <c r="J33" s="22"/>
      <c r="K33" s="22"/>
      <c r="L33" s="22"/>
      <c r="M33" s="22"/>
      <c r="N33" s="22"/>
    </row>
    <row r="34" spans="1:14" ht="16.5" customHeight="1">
      <c r="A34" s="92" t="s">
        <v>48</v>
      </c>
      <c r="B34" s="323">
        <v>3729339.356999998</v>
      </c>
      <c r="C34" s="323">
        <v>3862222.0829999996</v>
      </c>
      <c r="D34" s="266">
        <f t="shared" si="0"/>
        <v>132882.72600000165</v>
      </c>
      <c r="E34" s="324">
        <f t="shared" si="1"/>
        <v>3.5631706658869694E-2</v>
      </c>
      <c r="G34" s="325">
        <v>1333087.291</v>
      </c>
      <c r="H34" s="26">
        <v>2529134.7919999999</v>
      </c>
      <c r="I34" s="25">
        <f t="shared" si="2"/>
        <v>3862222.0829999996</v>
      </c>
      <c r="J34" s="22"/>
      <c r="K34" s="22"/>
      <c r="L34" s="22"/>
      <c r="M34" s="22"/>
      <c r="N34" s="22"/>
    </row>
    <row r="35" spans="1:14" ht="4.5" customHeight="1">
      <c r="A35" s="92"/>
      <c r="B35" s="323"/>
      <c r="C35" s="323"/>
      <c r="D35" s="266"/>
      <c r="E35" s="326"/>
      <c r="G35" s="26"/>
      <c r="I35" s="22"/>
      <c r="J35" s="22"/>
      <c r="K35" s="22"/>
      <c r="L35" s="22"/>
      <c r="M35" s="22"/>
      <c r="N35" s="22"/>
    </row>
    <row r="36" spans="1:14" ht="20.25" customHeight="1" thickBot="1">
      <c r="A36" s="2092" t="s">
        <v>459</v>
      </c>
      <c r="B36" s="2093">
        <v>3428866.6494999998</v>
      </c>
      <c r="C36" s="2093">
        <f>AVERAGE(C23:C34)</f>
        <v>3846243.2935833335</v>
      </c>
      <c r="D36" s="2094">
        <f>C36-B36</f>
        <v>417376.64408333367</v>
      </c>
      <c r="E36" s="2138">
        <f>D36/B36</f>
        <v>0.12172437331273757</v>
      </c>
      <c r="G36" s="19">
        <f>SUM(G23:G35)</f>
        <v>15906018.207</v>
      </c>
      <c r="H36" s="26">
        <f>SUM(H23:H35)</f>
        <v>30248901.315999996</v>
      </c>
      <c r="I36" s="26">
        <f>SUM(I23:I35)</f>
        <v>46154919.523000002</v>
      </c>
      <c r="J36" s="22"/>
      <c r="K36" s="22"/>
      <c r="L36" s="22"/>
      <c r="M36" s="22"/>
      <c r="N36" s="22"/>
    </row>
    <row r="37" spans="1:14" ht="21" customHeight="1" thickBot="1">
      <c r="A37" s="85" t="s">
        <v>49</v>
      </c>
      <c r="B37" s="268">
        <f>SUM(B23:B34)</f>
        <v>44151386.864999995</v>
      </c>
      <c r="C37" s="268">
        <f>SUM(C23:C34)</f>
        <v>46154919.523000002</v>
      </c>
      <c r="D37" s="269">
        <f>C37-B37</f>
        <v>2003532.6580000073</v>
      </c>
      <c r="E37" s="327">
        <f>D37/B37</f>
        <v>4.5378702692310265E-2</v>
      </c>
      <c r="H37" s="26"/>
      <c r="I37" s="322">
        <f>+G36+H36</f>
        <v>46154919.522999994</v>
      </c>
      <c r="J37" s="22"/>
      <c r="K37" s="22"/>
      <c r="L37" s="22"/>
      <c r="M37" s="22"/>
      <c r="N37" s="22"/>
    </row>
    <row r="38" spans="1:14" ht="8.25" customHeight="1">
      <c r="I38" s="22"/>
      <c r="J38" s="25"/>
      <c r="K38" s="22"/>
      <c r="L38" s="22"/>
      <c r="M38" s="22"/>
      <c r="N38" s="22"/>
    </row>
    <row r="39" spans="1:14">
      <c r="A39" s="2970" t="s">
        <v>460</v>
      </c>
      <c r="B39" s="2970"/>
      <c r="C39" s="2970"/>
      <c r="D39" s="2970"/>
      <c r="E39" s="2970"/>
      <c r="I39" s="22"/>
      <c r="J39" s="25"/>
      <c r="K39" s="22"/>
      <c r="L39" s="22"/>
      <c r="M39" s="22"/>
      <c r="N39" s="22"/>
    </row>
    <row r="40" spans="1:14">
      <c r="C40" s="328"/>
      <c r="D40" s="328"/>
      <c r="E40" s="328"/>
      <c r="I40" s="22"/>
      <c r="J40" s="25"/>
      <c r="K40" s="22"/>
      <c r="L40" s="22"/>
      <c r="M40" s="22"/>
      <c r="N40" s="22"/>
    </row>
    <row r="41" spans="1:14">
      <c r="C41" s="328"/>
      <c r="D41" s="328"/>
      <c r="E41" s="328"/>
      <c r="I41" s="22"/>
      <c r="J41" s="25"/>
      <c r="K41" s="22"/>
      <c r="L41" s="22"/>
      <c r="M41" s="22"/>
      <c r="N41" s="22"/>
    </row>
    <row r="42" spans="1:14">
      <c r="C42" s="328"/>
      <c r="D42" s="328"/>
      <c r="E42" s="328"/>
      <c r="I42" s="22"/>
      <c r="J42" s="25"/>
      <c r="K42" s="22"/>
      <c r="L42" s="22"/>
      <c r="M42" s="22"/>
      <c r="N42" s="22"/>
    </row>
    <row r="43" spans="1:14" ht="18.75">
      <c r="C43" s="328"/>
      <c r="D43" s="328"/>
      <c r="E43" s="328"/>
      <c r="I43" s="22"/>
      <c r="J43" s="22"/>
      <c r="K43" s="25"/>
      <c r="L43" s="22"/>
      <c r="M43" s="22"/>
      <c r="N43" s="329"/>
    </row>
    <row r="44" spans="1:14" ht="18.75">
      <c r="I44" s="22"/>
      <c r="J44" s="22"/>
      <c r="K44" s="25"/>
      <c r="L44" s="22"/>
      <c r="M44" s="22"/>
      <c r="N44" s="329"/>
    </row>
    <row r="45" spans="1:14" ht="18.75">
      <c r="I45" s="22"/>
      <c r="J45" s="22"/>
      <c r="K45" s="25"/>
      <c r="L45" s="22"/>
      <c r="M45" s="22"/>
      <c r="N45" s="329"/>
    </row>
    <row r="46" spans="1:14" ht="18.75">
      <c r="I46" s="22"/>
      <c r="J46" s="22"/>
      <c r="K46" s="25"/>
      <c r="L46" s="22"/>
      <c r="M46" s="22"/>
      <c r="N46" s="329"/>
    </row>
    <row r="47" spans="1:14" ht="18.75">
      <c r="D47" s="26"/>
      <c r="F47" s="26"/>
      <c r="I47" s="22"/>
      <c r="J47" s="22"/>
      <c r="K47" s="25"/>
      <c r="L47" s="22"/>
      <c r="M47" s="22"/>
      <c r="N47" s="329"/>
    </row>
    <row r="48" spans="1:14" ht="18.75">
      <c r="D48" s="26"/>
      <c r="F48" s="26"/>
      <c r="I48" s="22"/>
      <c r="J48" s="22"/>
      <c r="K48" s="25"/>
      <c r="L48" s="22"/>
      <c r="M48" s="22"/>
      <c r="N48" s="329"/>
    </row>
    <row r="49" spans="4:14" ht="18.75">
      <c r="D49" s="26"/>
      <c r="F49" s="26"/>
      <c r="I49" s="22"/>
      <c r="J49" s="22"/>
      <c r="K49" s="25"/>
      <c r="L49" s="22"/>
      <c r="M49" s="22"/>
      <c r="N49" s="329"/>
    </row>
    <row r="50" spans="4:14" ht="18.75">
      <c r="D50" s="26"/>
      <c r="F50" s="26"/>
      <c r="I50" s="22"/>
      <c r="J50" s="22"/>
      <c r="K50" s="22"/>
      <c r="L50" s="22"/>
      <c r="M50" s="22"/>
      <c r="N50" s="329"/>
    </row>
    <row r="51" spans="4:14" ht="18.75">
      <c r="D51" s="26"/>
      <c r="F51" s="26"/>
      <c r="I51" s="22"/>
      <c r="J51" s="22"/>
      <c r="K51" s="22"/>
      <c r="L51" s="22"/>
      <c r="M51" s="22"/>
      <c r="N51" s="329"/>
    </row>
    <row r="52" spans="4:14" ht="18.75">
      <c r="D52" s="26"/>
      <c r="F52" s="26"/>
      <c r="I52" s="22"/>
      <c r="J52" s="22"/>
      <c r="K52" s="22"/>
      <c r="L52" s="22"/>
      <c r="M52" s="22"/>
      <c r="N52" s="329"/>
    </row>
    <row r="53" spans="4:14" ht="18.75">
      <c r="D53" s="26"/>
      <c r="F53" s="26"/>
      <c r="I53" s="22"/>
      <c r="J53" s="22"/>
      <c r="K53" s="22"/>
      <c r="L53" s="22"/>
      <c r="M53" s="22"/>
      <c r="N53" s="329"/>
    </row>
    <row r="54" spans="4:14" ht="18.75">
      <c r="D54" s="26"/>
      <c r="F54" s="26"/>
      <c r="I54" s="22"/>
      <c r="J54" s="22"/>
      <c r="K54" s="22"/>
      <c r="L54" s="22"/>
      <c r="M54" s="22"/>
      <c r="N54" s="329"/>
    </row>
    <row r="55" spans="4:14" ht="18.75">
      <c r="D55" s="26"/>
      <c r="F55" s="26"/>
      <c r="I55" s="22"/>
      <c r="J55" s="22"/>
      <c r="K55" s="22"/>
      <c r="L55" s="22"/>
      <c r="M55" s="22"/>
      <c r="N55" s="330"/>
    </row>
    <row r="56" spans="4:14">
      <c r="D56" s="26"/>
      <c r="F56" s="26"/>
      <c r="I56" s="22"/>
      <c r="J56" s="22"/>
      <c r="K56" s="22"/>
      <c r="L56" s="22"/>
      <c r="M56" s="22"/>
      <c r="N56" s="22"/>
    </row>
    <row r="57" spans="4:14">
      <c r="D57" s="26"/>
      <c r="F57" s="26"/>
      <c r="I57" s="22"/>
      <c r="J57" s="22"/>
      <c r="K57" s="22"/>
      <c r="L57" s="22"/>
      <c r="M57" s="22"/>
      <c r="N57" s="22"/>
    </row>
    <row r="58" spans="4:14">
      <c r="D58" s="26"/>
      <c r="F58" s="26"/>
      <c r="I58" s="22"/>
      <c r="J58" s="22"/>
      <c r="K58" s="22"/>
      <c r="L58" s="22"/>
      <c r="M58" s="22"/>
      <c r="N58" s="22"/>
    </row>
    <row r="59" spans="4:14">
      <c r="F59" s="26"/>
    </row>
  </sheetData>
  <mergeCells count="7">
    <mergeCell ref="A39:E39"/>
    <mergeCell ref="A19:E19"/>
    <mergeCell ref="A20:E20"/>
    <mergeCell ref="A21:A22"/>
    <mergeCell ref="B21:C21"/>
    <mergeCell ref="D21:D22"/>
    <mergeCell ref="E21:E22"/>
  </mergeCells>
  <printOptions horizontalCentered="1" verticalCentered="1"/>
  <pageMargins left="0.62992125984251968" right="0.70866141732283472" top="0.51181102362204722" bottom="0.55118110236220474" header="0.27559055118110237" footer="1.1811023622047245"/>
  <pageSetup paperSize="9" scale="110" firstPageNumber="5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A40"/>
  <sheetViews>
    <sheetView rightToLeft="1" zoomScale="110" zoomScaleNormal="110" workbookViewId="0">
      <selection activeCell="A17" sqref="A17:Y17"/>
    </sheetView>
  </sheetViews>
  <sheetFormatPr defaultColWidth="9" defaultRowHeight="18"/>
  <cols>
    <col min="1" max="16384" width="9" style="214"/>
  </cols>
  <sheetData>
    <row r="1" ht="17.25" customHeight="1"/>
    <row r="2" ht="17.25" customHeight="1"/>
    <row r="3" ht="17.25" customHeight="1"/>
    <row r="4" ht="17.25" customHeight="1"/>
    <row r="5" ht="17.25" customHeight="1"/>
    <row r="6" ht="17.25" customHeight="1"/>
    <row r="7" ht="17.25" customHeight="1"/>
    <row r="8" ht="17.25" customHeight="1"/>
    <row r="9" ht="17.25" customHeight="1"/>
    <row r="10" ht="17.25" customHeight="1"/>
    <row r="11" ht="17.25" customHeight="1"/>
    <row r="12" ht="17.25" customHeight="1"/>
    <row r="13" ht="17.25" customHeight="1"/>
    <row r="14" ht="17.25" customHeight="1"/>
    <row r="15" ht="17.25" customHeight="1"/>
    <row r="16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</sheetData>
  <printOptions horizontalCentered="1" verticalCentered="1"/>
  <pageMargins left="0.78740157480314965" right="0.78740157480314965" top="0.78740157480314965" bottom="0.78740157480314965" header="0" footer="0"/>
  <pageSetup paperSize="9" scale="90" firstPageNumber="5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00000"/>
  </sheetPr>
  <dimension ref="A1:BZ51"/>
  <sheetViews>
    <sheetView rightToLeft="1" zoomScale="80" zoomScaleNormal="80" workbookViewId="0">
      <selection activeCell="S46" sqref="S1:AA46"/>
    </sheetView>
  </sheetViews>
  <sheetFormatPr defaultRowHeight="15.75"/>
  <cols>
    <col min="1" max="1" width="16.375" style="312" customWidth="1"/>
    <col min="2" max="2" width="17.625" style="312" customWidth="1"/>
    <col min="3" max="3" width="19.125" style="312" customWidth="1"/>
    <col min="4" max="4" width="16.125" style="312" customWidth="1"/>
    <col min="5" max="5" width="11" style="312" hidden="1" customWidth="1"/>
    <col min="6" max="6" width="11.125" style="312" hidden="1" customWidth="1"/>
    <col min="7" max="7" width="0.75" style="312" hidden="1" customWidth="1"/>
    <col min="8" max="8" width="14.375" style="312" hidden="1" customWidth="1"/>
    <col min="9" max="9" width="15.375" style="312" customWidth="1"/>
    <col min="10" max="10" width="18.375" style="312" customWidth="1"/>
    <col min="11" max="11" width="18" style="312" customWidth="1"/>
    <col min="12" max="12" width="16.125" style="312" customWidth="1"/>
    <col min="13" max="13" width="0.25" style="312" hidden="1" customWidth="1"/>
    <col min="14" max="17" width="4.375" style="312" hidden="1" customWidth="1"/>
    <col min="18" max="18" width="16.875" style="312" customWidth="1"/>
    <col min="19" max="19" width="9.125" style="312" bestFit="1" customWidth="1"/>
    <col min="20" max="20" width="10.625" style="312" customWidth="1"/>
    <col min="21" max="21" width="9.375" style="312" bestFit="1" customWidth="1"/>
    <col min="22" max="22" width="9.25" style="312" bestFit="1" customWidth="1"/>
    <col min="23" max="23" width="11.25" style="312" bestFit="1" customWidth="1"/>
    <col min="24" max="24" width="11.125" style="312" customWidth="1"/>
    <col min="25" max="27" width="14.25" style="312" bestFit="1" customWidth="1"/>
    <col min="28" max="28" width="12.125" style="312" customWidth="1"/>
    <col min="29" max="29" width="8.25" style="312" customWidth="1"/>
    <col min="30" max="30" width="7" style="312" customWidth="1"/>
    <col min="31" max="31" width="8.125" style="312" customWidth="1"/>
    <col min="32" max="32" width="10.125" style="312" customWidth="1"/>
    <col min="33" max="33" width="10.75" style="312" customWidth="1"/>
    <col min="34" max="34" width="11.25" style="312" customWidth="1"/>
    <col min="35" max="35" width="10.75" style="312" customWidth="1"/>
    <col min="36" max="36" width="9.75" style="312" customWidth="1"/>
    <col min="37" max="37" width="16.75" style="312" customWidth="1"/>
    <col min="38" max="38" width="14" style="312" customWidth="1"/>
    <col min="39" max="39" width="15.25" style="312" customWidth="1"/>
    <col min="40" max="40" width="14.25" style="312" customWidth="1"/>
    <col min="41" max="42" width="11.375" style="312" hidden="1" customWidth="1"/>
    <col min="43" max="43" width="10.125" style="312" hidden="1" customWidth="1"/>
    <col min="44" max="44" width="3.375" style="312" hidden="1" customWidth="1"/>
    <col min="45" max="45" width="15.875" style="312" customWidth="1"/>
    <col min="46" max="47" width="10.25" style="312" customWidth="1"/>
    <col min="48" max="48" width="11.625" style="312" customWidth="1"/>
    <col min="49" max="49" width="10" style="312" customWidth="1"/>
    <col min="50" max="50" width="18.875" style="312" customWidth="1"/>
    <col min="51" max="51" width="12.625" style="312" customWidth="1"/>
    <col min="52" max="52" width="18" style="312" customWidth="1"/>
    <col min="53" max="53" width="7.125" style="312" bestFit="1" customWidth="1"/>
    <col min="54" max="55" width="9.125" style="312"/>
    <col min="56" max="56" width="7.125" style="312" bestFit="1" customWidth="1"/>
    <col min="57" max="59" width="9.125" style="312"/>
    <col min="60" max="62" width="9.75" style="312" bestFit="1" customWidth="1"/>
    <col min="63" max="63" width="8.375" style="312" bestFit="1" customWidth="1"/>
    <col min="64" max="71" width="9.75" style="312" bestFit="1" customWidth="1"/>
    <col min="72" max="256" width="9.125" style="312"/>
    <col min="257" max="257" width="9" style="312" customWidth="1"/>
    <col min="258" max="258" width="7" style="312" customWidth="1"/>
    <col min="259" max="260" width="8" style="312" customWidth="1"/>
    <col min="261" max="261" width="10.125" style="312" customWidth="1"/>
    <col min="262" max="262" width="9.625" style="312" customWidth="1"/>
    <col min="263" max="263" width="11.875" style="312" customWidth="1"/>
    <col min="264" max="264" width="12.75" style="312" customWidth="1"/>
    <col min="265" max="265" width="9.25" style="312" customWidth="1"/>
    <col min="266" max="266" width="9.625" style="312" customWidth="1"/>
    <col min="267" max="267" width="7.75" style="312" customWidth="1"/>
    <col min="268" max="268" width="8.375" style="312" customWidth="1"/>
    <col min="269" max="269" width="5.875" style="312" customWidth="1"/>
    <col min="270" max="270" width="8.875" style="312" customWidth="1"/>
    <col min="271" max="271" width="9.25" style="312" customWidth="1"/>
    <col min="272" max="272" width="11.125" style="312" customWidth="1"/>
    <col min="273" max="273" width="11.875" style="312" customWidth="1"/>
    <col min="274" max="274" width="8.75" style="312" customWidth="1"/>
    <col min="275" max="275" width="10.25" style="312" customWidth="1"/>
    <col min="276" max="276" width="7" style="312" customWidth="1"/>
    <col min="277" max="277" width="8" style="312" customWidth="1"/>
    <col min="278" max="278" width="7.875" style="312" customWidth="1"/>
    <col min="279" max="279" width="11.125" style="312" customWidth="1"/>
    <col min="280" max="280" width="10.125" style="312" customWidth="1"/>
    <col min="281" max="281" width="11.875" style="312" customWidth="1"/>
    <col min="282" max="282" width="11.75" style="312" customWidth="1"/>
    <col min="283" max="283" width="9.75" style="312" customWidth="1"/>
    <col min="284" max="284" width="10.375" style="312" customWidth="1"/>
    <col min="285" max="286" width="7" style="312" customWidth="1"/>
    <col min="287" max="287" width="8.125" style="312" customWidth="1"/>
    <col min="288" max="288" width="10" style="312" customWidth="1"/>
    <col min="289" max="289" width="9.375" style="312" customWidth="1"/>
    <col min="290" max="290" width="10.375" style="312" customWidth="1"/>
    <col min="291" max="291" width="10.75" style="312" customWidth="1"/>
    <col min="292" max="292" width="9.75" style="312" customWidth="1"/>
    <col min="293" max="293" width="10.75" style="312" customWidth="1"/>
    <col min="294" max="294" width="7" style="312" customWidth="1"/>
    <col min="295" max="296" width="8.25" style="312" customWidth="1"/>
    <col min="297" max="298" width="10" style="312" customWidth="1"/>
    <col min="299" max="300" width="10.75" style="312" customWidth="1"/>
    <col min="301" max="301" width="9.75" style="312" customWidth="1"/>
    <col min="302" max="302" width="7" style="312" customWidth="1"/>
    <col min="303" max="303" width="10.25" style="312" customWidth="1"/>
    <col min="304" max="306" width="7" style="312" customWidth="1"/>
    <col min="307" max="307" width="11.75" style="312" bestFit="1" customWidth="1"/>
    <col min="308" max="308" width="16.25" style="312" customWidth="1"/>
    <col min="309" max="309" width="7.125" style="312" bestFit="1" customWidth="1"/>
    <col min="310" max="311" width="9.125" style="312"/>
    <col min="312" max="312" width="7.125" style="312" bestFit="1" customWidth="1"/>
    <col min="313" max="315" width="9.125" style="312"/>
    <col min="316" max="318" width="9.75" style="312" bestFit="1" customWidth="1"/>
    <col min="319" max="319" width="8.375" style="312" bestFit="1" customWidth="1"/>
    <col min="320" max="327" width="9.75" style="312" bestFit="1" customWidth="1"/>
    <col min="328" max="512" width="9.125" style="312"/>
    <col min="513" max="513" width="9" style="312" customWidth="1"/>
    <col min="514" max="514" width="7" style="312" customWidth="1"/>
    <col min="515" max="516" width="8" style="312" customWidth="1"/>
    <col min="517" max="517" width="10.125" style="312" customWidth="1"/>
    <col min="518" max="518" width="9.625" style="312" customWidth="1"/>
    <col min="519" max="519" width="11.875" style="312" customWidth="1"/>
    <col min="520" max="520" width="12.75" style="312" customWidth="1"/>
    <col min="521" max="521" width="9.25" style="312" customWidth="1"/>
    <col min="522" max="522" width="9.625" style="312" customWidth="1"/>
    <col min="523" max="523" width="7.75" style="312" customWidth="1"/>
    <col min="524" max="524" width="8.375" style="312" customWidth="1"/>
    <col min="525" max="525" width="5.875" style="312" customWidth="1"/>
    <col min="526" max="526" width="8.875" style="312" customWidth="1"/>
    <col min="527" max="527" width="9.25" style="312" customWidth="1"/>
    <col min="528" max="528" width="11.125" style="312" customWidth="1"/>
    <col min="529" max="529" width="11.875" style="312" customWidth="1"/>
    <col min="530" max="530" width="8.75" style="312" customWidth="1"/>
    <col min="531" max="531" width="10.25" style="312" customWidth="1"/>
    <col min="532" max="532" width="7" style="312" customWidth="1"/>
    <col min="533" max="533" width="8" style="312" customWidth="1"/>
    <col min="534" max="534" width="7.875" style="312" customWidth="1"/>
    <col min="535" max="535" width="11.125" style="312" customWidth="1"/>
    <col min="536" max="536" width="10.125" style="312" customWidth="1"/>
    <col min="537" max="537" width="11.875" style="312" customWidth="1"/>
    <col min="538" max="538" width="11.75" style="312" customWidth="1"/>
    <col min="539" max="539" width="9.75" style="312" customWidth="1"/>
    <col min="540" max="540" width="10.375" style="312" customWidth="1"/>
    <col min="541" max="542" width="7" style="312" customWidth="1"/>
    <col min="543" max="543" width="8.125" style="312" customWidth="1"/>
    <col min="544" max="544" width="10" style="312" customWidth="1"/>
    <col min="545" max="545" width="9.375" style="312" customWidth="1"/>
    <col min="546" max="546" width="10.375" style="312" customWidth="1"/>
    <col min="547" max="547" width="10.75" style="312" customWidth="1"/>
    <col min="548" max="548" width="9.75" style="312" customWidth="1"/>
    <col min="549" max="549" width="10.75" style="312" customWidth="1"/>
    <col min="550" max="550" width="7" style="312" customWidth="1"/>
    <col min="551" max="552" width="8.25" style="312" customWidth="1"/>
    <col min="553" max="554" width="10" style="312" customWidth="1"/>
    <col min="555" max="556" width="10.75" style="312" customWidth="1"/>
    <col min="557" max="557" width="9.75" style="312" customWidth="1"/>
    <col min="558" max="558" width="7" style="312" customWidth="1"/>
    <col min="559" max="559" width="10.25" style="312" customWidth="1"/>
    <col min="560" max="562" width="7" style="312" customWidth="1"/>
    <col min="563" max="563" width="11.75" style="312" bestFit="1" customWidth="1"/>
    <col min="564" max="564" width="16.25" style="312" customWidth="1"/>
    <col min="565" max="565" width="7.125" style="312" bestFit="1" customWidth="1"/>
    <col min="566" max="567" width="9.125" style="312"/>
    <col min="568" max="568" width="7.125" style="312" bestFit="1" customWidth="1"/>
    <col min="569" max="571" width="9.125" style="312"/>
    <col min="572" max="574" width="9.75" style="312" bestFit="1" customWidth="1"/>
    <col min="575" max="575" width="8.375" style="312" bestFit="1" customWidth="1"/>
    <col min="576" max="583" width="9.75" style="312" bestFit="1" customWidth="1"/>
    <col min="584" max="768" width="9.125" style="312"/>
    <col min="769" max="769" width="9" style="312" customWidth="1"/>
    <col min="770" max="770" width="7" style="312" customWidth="1"/>
    <col min="771" max="772" width="8" style="312" customWidth="1"/>
    <col min="773" max="773" width="10.125" style="312" customWidth="1"/>
    <col min="774" max="774" width="9.625" style="312" customWidth="1"/>
    <col min="775" max="775" width="11.875" style="312" customWidth="1"/>
    <col min="776" max="776" width="12.75" style="312" customWidth="1"/>
    <col min="777" max="777" width="9.25" style="312" customWidth="1"/>
    <col min="778" max="778" width="9.625" style="312" customWidth="1"/>
    <col min="779" max="779" width="7.75" style="312" customWidth="1"/>
    <col min="780" max="780" width="8.375" style="312" customWidth="1"/>
    <col min="781" max="781" width="5.875" style="312" customWidth="1"/>
    <col min="782" max="782" width="8.875" style="312" customWidth="1"/>
    <col min="783" max="783" width="9.25" style="312" customWidth="1"/>
    <col min="784" max="784" width="11.125" style="312" customWidth="1"/>
    <col min="785" max="785" width="11.875" style="312" customWidth="1"/>
    <col min="786" max="786" width="8.75" style="312" customWidth="1"/>
    <col min="787" max="787" width="10.25" style="312" customWidth="1"/>
    <col min="788" max="788" width="7" style="312" customWidth="1"/>
    <col min="789" max="789" width="8" style="312" customWidth="1"/>
    <col min="790" max="790" width="7.875" style="312" customWidth="1"/>
    <col min="791" max="791" width="11.125" style="312" customWidth="1"/>
    <col min="792" max="792" width="10.125" style="312" customWidth="1"/>
    <col min="793" max="793" width="11.875" style="312" customWidth="1"/>
    <col min="794" max="794" width="11.75" style="312" customWidth="1"/>
    <col min="795" max="795" width="9.75" style="312" customWidth="1"/>
    <col min="796" max="796" width="10.375" style="312" customWidth="1"/>
    <col min="797" max="798" width="7" style="312" customWidth="1"/>
    <col min="799" max="799" width="8.125" style="312" customWidth="1"/>
    <col min="800" max="800" width="10" style="312" customWidth="1"/>
    <col min="801" max="801" width="9.375" style="312" customWidth="1"/>
    <col min="802" max="802" width="10.375" style="312" customWidth="1"/>
    <col min="803" max="803" width="10.75" style="312" customWidth="1"/>
    <col min="804" max="804" width="9.75" style="312" customWidth="1"/>
    <col min="805" max="805" width="10.75" style="312" customWidth="1"/>
    <col min="806" max="806" width="7" style="312" customWidth="1"/>
    <col min="807" max="808" width="8.25" style="312" customWidth="1"/>
    <col min="809" max="810" width="10" style="312" customWidth="1"/>
    <col min="811" max="812" width="10.75" style="312" customWidth="1"/>
    <col min="813" max="813" width="9.75" style="312" customWidth="1"/>
    <col min="814" max="814" width="7" style="312" customWidth="1"/>
    <col min="815" max="815" width="10.25" style="312" customWidth="1"/>
    <col min="816" max="818" width="7" style="312" customWidth="1"/>
    <col min="819" max="819" width="11.75" style="312" bestFit="1" customWidth="1"/>
    <col min="820" max="820" width="16.25" style="312" customWidth="1"/>
    <col min="821" max="821" width="7.125" style="312" bestFit="1" customWidth="1"/>
    <col min="822" max="823" width="9.125" style="312"/>
    <col min="824" max="824" width="7.125" style="312" bestFit="1" customWidth="1"/>
    <col min="825" max="827" width="9.125" style="312"/>
    <col min="828" max="830" width="9.75" style="312" bestFit="1" customWidth="1"/>
    <col min="831" max="831" width="8.375" style="312" bestFit="1" customWidth="1"/>
    <col min="832" max="839" width="9.75" style="312" bestFit="1" customWidth="1"/>
    <col min="840" max="1024" width="9.125" style="312"/>
    <col min="1025" max="1025" width="9" style="312" customWidth="1"/>
    <col min="1026" max="1026" width="7" style="312" customWidth="1"/>
    <col min="1027" max="1028" width="8" style="312" customWidth="1"/>
    <col min="1029" max="1029" width="10.125" style="312" customWidth="1"/>
    <col min="1030" max="1030" width="9.625" style="312" customWidth="1"/>
    <col min="1031" max="1031" width="11.875" style="312" customWidth="1"/>
    <col min="1032" max="1032" width="12.75" style="312" customWidth="1"/>
    <col min="1033" max="1033" width="9.25" style="312" customWidth="1"/>
    <col min="1034" max="1034" width="9.625" style="312" customWidth="1"/>
    <col min="1035" max="1035" width="7.75" style="312" customWidth="1"/>
    <col min="1036" max="1036" width="8.375" style="312" customWidth="1"/>
    <col min="1037" max="1037" width="5.875" style="312" customWidth="1"/>
    <col min="1038" max="1038" width="8.875" style="312" customWidth="1"/>
    <col min="1039" max="1039" width="9.25" style="312" customWidth="1"/>
    <col min="1040" max="1040" width="11.125" style="312" customWidth="1"/>
    <col min="1041" max="1041" width="11.875" style="312" customWidth="1"/>
    <col min="1042" max="1042" width="8.75" style="312" customWidth="1"/>
    <col min="1043" max="1043" width="10.25" style="312" customWidth="1"/>
    <col min="1044" max="1044" width="7" style="312" customWidth="1"/>
    <col min="1045" max="1045" width="8" style="312" customWidth="1"/>
    <col min="1046" max="1046" width="7.875" style="312" customWidth="1"/>
    <col min="1047" max="1047" width="11.125" style="312" customWidth="1"/>
    <col min="1048" max="1048" width="10.125" style="312" customWidth="1"/>
    <col min="1049" max="1049" width="11.875" style="312" customWidth="1"/>
    <col min="1050" max="1050" width="11.75" style="312" customWidth="1"/>
    <col min="1051" max="1051" width="9.75" style="312" customWidth="1"/>
    <col min="1052" max="1052" width="10.375" style="312" customWidth="1"/>
    <col min="1053" max="1054" width="7" style="312" customWidth="1"/>
    <col min="1055" max="1055" width="8.125" style="312" customWidth="1"/>
    <col min="1056" max="1056" width="10" style="312" customWidth="1"/>
    <col min="1057" max="1057" width="9.375" style="312" customWidth="1"/>
    <col min="1058" max="1058" width="10.375" style="312" customWidth="1"/>
    <col min="1059" max="1059" width="10.75" style="312" customWidth="1"/>
    <col min="1060" max="1060" width="9.75" style="312" customWidth="1"/>
    <col min="1061" max="1061" width="10.75" style="312" customWidth="1"/>
    <col min="1062" max="1062" width="7" style="312" customWidth="1"/>
    <col min="1063" max="1064" width="8.25" style="312" customWidth="1"/>
    <col min="1065" max="1066" width="10" style="312" customWidth="1"/>
    <col min="1067" max="1068" width="10.75" style="312" customWidth="1"/>
    <col min="1069" max="1069" width="9.75" style="312" customWidth="1"/>
    <col min="1070" max="1070" width="7" style="312" customWidth="1"/>
    <col min="1071" max="1071" width="10.25" style="312" customWidth="1"/>
    <col min="1072" max="1074" width="7" style="312" customWidth="1"/>
    <col min="1075" max="1075" width="11.75" style="312" bestFit="1" customWidth="1"/>
    <col min="1076" max="1076" width="16.25" style="312" customWidth="1"/>
    <col min="1077" max="1077" width="7.125" style="312" bestFit="1" customWidth="1"/>
    <col min="1078" max="1079" width="9.125" style="312"/>
    <col min="1080" max="1080" width="7.125" style="312" bestFit="1" customWidth="1"/>
    <col min="1081" max="1083" width="9.125" style="312"/>
    <col min="1084" max="1086" width="9.75" style="312" bestFit="1" customWidth="1"/>
    <col min="1087" max="1087" width="8.375" style="312" bestFit="1" customWidth="1"/>
    <col min="1088" max="1095" width="9.75" style="312" bestFit="1" customWidth="1"/>
    <col min="1096" max="1280" width="9.125" style="312"/>
    <col min="1281" max="1281" width="9" style="312" customWidth="1"/>
    <col min="1282" max="1282" width="7" style="312" customWidth="1"/>
    <col min="1283" max="1284" width="8" style="312" customWidth="1"/>
    <col min="1285" max="1285" width="10.125" style="312" customWidth="1"/>
    <col min="1286" max="1286" width="9.625" style="312" customWidth="1"/>
    <col min="1287" max="1287" width="11.875" style="312" customWidth="1"/>
    <col min="1288" max="1288" width="12.75" style="312" customWidth="1"/>
    <col min="1289" max="1289" width="9.25" style="312" customWidth="1"/>
    <col min="1290" max="1290" width="9.625" style="312" customWidth="1"/>
    <col min="1291" max="1291" width="7.75" style="312" customWidth="1"/>
    <col min="1292" max="1292" width="8.375" style="312" customWidth="1"/>
    <col min="1293" max="1293" width="5.875" style="312" customWidth="1"/>
    <col min="1294" max="1294" width="8.875" style="312" customWidth="1"/>
    <col min="1295" max="1295" width="9.25" style="312" customWidth="1"/>
    <col min="1296" max="1296" width="11.125" style="312" customWidth="1"/>
    <col min="1297" max="1297" width="11.875" style="312" customWidth="1"/>
    <col min="1298" max="1298" width="8.75" style="312" customWidth="1"/>
    <col min="1299" max="1299" width="10.25" style="312" customWidth="1"/>
    <col min="1300" max="1300" width="7" style="312" customWidth="1"/>
    <col min="1301" max="1301" width="8" style="312" customWidth="1"/>
    <col min="1302" max="1302" width="7.875" style="312" customWidth="1"/>
    <col min="1303" max="1303" width="11.125" style="312" customWidth="1"/>
    <col min="1304" max="1304" width="10.125" style="312" customWidth="1"/>
    <col min="1305" max="1305" width="11.875" style="312" customWidth="1"/>
    <col min="1306" max="1306" width="11.75" style="312" customWidth="1"/>
    <col min="1307" max="1307" width="9.75" style="312" customWidth="1"/>
    <col min="1308" max="1308" width="10.375" style="312" customWidth="1"/>
    <col min="1309" max="1310" width="7" style="312" customWidth="1"/>
    <col min="1311" max="1311" width="8.125" style="312" customWidth="1"/>
    <col min="1312" max="1312" width="10" style="312" customWidth="1"/>
    <col min="1313" max="1313" width="9.375" style="312" customWidth="1"/>
    <col min="1314" max="1314" width="10.375" style="312" customWidth="1"/>
    <col min="1315" max="1315" width="10.75" style="312" customWidth="1"/>
    <col min="1316" max="1316" width="9.75" style="312" customWidth="1"/>
    <col min="1317" max="1317" width="10.75" style="312" customWidth="1"/>
    <col min="1318" max="1318" width="7" style="312" customWidth="1"/>
    <col min="1319" max="1320" width="8.25" style="312" customWidth="1"/>
    <col min="1321" max="1322" width="10" style="312" customWidth="1"/>
    <col min="1323" max="1324" width="10.75" style="312" customWidth="1"/>
    <col min="1325" max="1325" width="9.75" style="312" customWidth="1"/>
    <col min="1326" max="1326" width="7" style="312" customWidth="1"/>
    <col min="1327" max="1327" width="10.25" style="312" customWidth="1"/>
    <col min="1328" max="1330" width="7" style="312" customWidth="1"/>
    <col min="1331" max="1331" width="11.75" style="312" bestFit="1" customWidth="1"/>
    <col min="1332" max="1332" width="16.25" style="312" customWidth="1"/>
    <col min="1333" max="1333" width="7.125" style="312" bestFit="1" customWidth="1"/>
    <col min="1334" max="1335" width="9.125" style="312"/>
    <col min="1336" max="1336" width="7.125" style="312" bestFit="1" customWidth="1"/>
    <col min="1337" max="1339" width="9.125" style="312"/>
    <col min="1340" max="1342" width="9.75" style="312" bestFit="1" customWidth="1"/>
    <col min="1343" max="1343" width="8.375" style="312" bestFit="1" customWidth="1"/>
    <col min="1344" max="1351" width="9.75" style="312" bestFit="1" customWidth="1"/>
    <col min="1352" max="1536" width="9.125" style="312"/>
    <col min="1537" max="1537" width="9" style="312" customWidth="1"/>
    <col min="1538" max="1538" width="7" style="312" customWidth="1"/>
    <col min="1539" max="1540" width="8" style="312" customWidth="1"/>
    <col min="1541" max="1541" width="10.125" style="312" customWidth="1"/>
    <col min="1542" max="1542" width="9.625" style="312" customWidth="1"/>
    <col min="1543" max="1543" width="11.875" style="312" customWidth="1"/>
    <col min="1544" max="1544" width="12.75" style="312" customWidth="1"/>
    <col min="1545" max="1545" width="9.25" style="312" customWidth="1"/>
    <col min="1546" max="1546" width="9.625" style="312" customWidth="1"/>
    <col min="1547" max="1547" width="7.75" style="312" customWidth="1"/>
    <col min="1548" max="1548" width="8.375" style="312" customWidth="1"/>
    <col min="1549" max="1549" width="5.875" style="312" customWidth="1"/>
    <col min="1550" max="1550" width="8.875" style="312" customWidth="1"/>
    <col min="1551" max="1551" width="9.25" style="312" customWidth="1"/>
    <col min="1552" max="1552" width="11.125" style="312" customWidth="1"/>
    <col min="1553" max="1553" width="11.875" style="312" customWidth="1"/>
    <col min="1554" max="1554" width="8.75" style="312" customWidth="1"/>
    <col min="1555" max="1555" width="10.25" style="312" customWidth="1"/>
    <col min="1556" max="1556" width="7" style="312" customWidth="1"/>
    <col min="1557" max="1557" width="8" style="312" customWidth="1"/>
    <col min="1558" max="1558" width="7.875" style="312" customWidth="1"/>
    <col min="1559" max="1559" width="11.125" style="312" customWidth="1"/>
    <col min="1560" max="1560" width="10.125" style="312" customWidth="1"/>
    <col min="1561" max="1561" width="11.875" style="312" customWidth="1"/>
    <col min="1562" max="1562" width="11.75" style="312" customWidth="1"/>
    <col min="1563" max="1563" width="9.75" style="312" customWidth="1"/>
    <col min="1564" max="1564" width="10.375" style="312" customWidth="1"/>
    <col min="1565" max="1566" width="7" style="312" customWidth="1"/>
    <col min="1567" max="1567" width="8.125" style="312" customWidth="1"/>
    <col min="1568" max="1568" width="10" style="312" customWidth="1"/>
    <col min="1569" max="1569" width="9.375" style="312" customWidth="1"/>
    <col min="1570" max="1570" width="10.375" style="312" customWidth="1"/>
    <col min="1571" max="1571" width="10.75" style="312" customWidth="1"/>
    <col min="1572" max="1572" width="9.75" style="312" customWidth="1"/>
    <col min="1573" max="1573" width="10.75" style="312" customWidth="1"/>
    <col min="1574" max="1574" width="7" style="312" customWidth="1"/>
    <col min="1575" max="1576" width="8.25" style="312" customWidth="1"/>
    <col min="1577" max="1578" width="10" style="312" customWidth="1"/>
    <col min="1579" max="1580" width="10.75" style="312" customWidth="1"/>
    <col min="1581" max="1581" width="9.75" style="312" customWidth="1"/>
    <col min="1582" max="1582" width="7" style="312" customWidth="1"/>
    <col min="1583" max="1583" width="10.25" style="312" customWidth="1"/>
    <col min="1584" max="1586" width="7" style="312" customWidth="1"/>
    <col min="1587" max="1587" width="11.75" style="312" bestFit="1" customWidth="1"/>
    <col min="1588" max="1588" width="16.25" style="312" customWidth="1"/>
    <col min="1589" max="1589" width="7.125" style="312" bestFit="1" customWidth="1"/>
    <col min="1590" max="1591" width="9.125" style="312"/>
    <col min="1592" max="1592" width="7.125" style="312" bestFit="1" customWidth="1"/>
    <col min="1593" max="1595" width="9.125" style="312"/>
    <col min="1596" max="1598" width="9.75" style="312" bestFit="1" customWidth="1"/>
    <col min="1599" max="1599" width="8.375" style="312" bestFit="1" customWidth="1"/>
    <col min="1600" max="1607" width="9.75" style="312" bestFit="1" customWidth="1"/>
    <col min="1608" max="1792" width="9.125" style="312"/>
    <col min="1793" max="1793" width="9" style="312" customWidth="1"/>
    <col min="1794" max="1794" width="7" style="312" customWidth="1"/>
    <col min="1795" max="1796" width="8" style="312" customWidth="1"/>
    <col min="1797" max="1797" width="10.125" style="312" customWidth="1"/>
    <col min="1798" max="1798" width="9.625" style="312" customWidth="1"/>
    <col min="1799" max="1799" width="11.875" style="312" customWidth="1"/>
    <col min="1800" max="1800" width="12.75" style="312" customWidth="1"/>
    <col min="1801" max="1801" width="9.25" style="312" customWidth="1"/>
    <col min="1802" max="1802" width="9.625" style="312" customWidth="1"/>
    <col min="1803" max="1803" width="7.75" style="312" customWidth="1"/>
    <col min="1804" max="1804" width="8.375" style="312" customWidth="1"/>
    <col min="1805" max="1805" width="5.875" style="312" customWidth="1"/>
    <col min="1806" max="1806" width="8.875" style="312" customWidth="1"/>
    <col min="1807" max="1807" width="9.25" style="312" customWidth="1"/>
    <col min="1808" max="1808" width="11.125" style="312" customWidth="1"/>
    <col min="1809" max="1809" width="11.875" style="312" customWidth="1"/>
    <col min="1810" max="1810" width="8.75" style="312" customWidth="1"/>
    <col min="1811" max="1811" width="10.25" style="312" customWidth="1"/>
    <col min="1812" max="1812" width="7" style="312" customWidth="1"/>
    <col min="1813" max="1813" width="8" style="312" customWidth="1"/>
    <col min="1814" max="1814" width="7.875" style="312" customWidth="1"/>
    <col min="1815" max="1815" width="11.125" style="312" customWidth="1"/>
    <col min="1816" max="1816" width="10.125" style="312" customWidth="1"/>
    <col min="1817" max="1817" width="11.875" style="312" customWidth="1"/>
    <col min="1818" max="1818" width="11.75" style="312" customWidth="1"/>
    <col min="1819" max="1819" width="9.75" style="312" customWidth="1"/>
    <col min="1820" max="1820" width="10.375" style="312" customWidth="1"/>
    <col min="1821" max="1822" width="7" style="312" customWidth="1"/>
    <col min="1823" max="1823" width="8.125" style="312" customWidth="1"/>
    <col min="1824" max="1824" width="10" style="312" customWidth="1"/>
    <col min="1825" max="1825" width="9.375" style="312" customWidth="1"/>
    <col min="1826" max="1826" width="10.375" style="312" customWidth="1"/>
    <col min="1827" max="1827" width="10.75" style="312" customWidth="1"/>
    <col min="1828" max="1828" width="9.75" style="312" customWidth="1"/>
    <col min="1829" max="1829" width="10.75" style="312" customWidth="1"/>
    <col min="1830" max="1830" width="7" style="312" customWidth="1"/>
    <col min="1831" max="1832" width="8.25" style="312" customWidth="1"/>
    <col min="1833" max="1834" width="10" style="312" customWidth="1"/>
    <col min="1835" max="1836" width="10.75" style="312" customWidth="1"/>
    <col min="1837" max="1837" width="9.75" style="312" customWidth="1"/>
    <col min="1838" max="1838" width="7" style="312" customWidth="1"/>
    <col min="1839" max="1839" width="10.25" style="312" customWidth="1"/>
    <col min="1840" max="1842" width="7" style="312" customWidth="1"/>
    <col min="1843" max="1843" width="11.75" style="312" bestFit="1" customWidth="1"/>
    <col min="1844" max="1844" width="16.25" style="312" customWidth="1"/>
    <col min="1845" max="1845" width="7.125" style="312" bestFit="1" customWidth="1"/>
    <col min="1846" max="1847" width="9.125" style="312"/>
    <col min="1848" max="1848" width="7.125" style="312" bestFit="1" customWidth="1"/>
    <col min="1849" max="1851" width="9.125" style="312"/>
    <col min="1852" max="1854" width="9.75" style="312" bestFit="1" customWidth="1"/>
    <col min="1855" max="1855" width="8.375" style="312" bestFit="1" customWidth="1"/>
    <col min="1856" max="1863" width="9.75" style="312" bestFit="1" customWidth="1"/>
    <col min="1864" max="2048" width="9.125" style="312"/>
    <col min="2049" max="2049" width="9" style="312" customWidth="1"/>
    <col min="2050" max="2050" width="7" style="312" customWidth="1"/>
    <col min="2051" max="2052" width="8" style="312" customWidth="1"/>
    <col min="2053" max="2053" width="10.125" style="312" customWidth="1"/>
    <col min="2054" max="2054" width="9.625" style="312" customWidth="1"/>
    <col min="2055" max="2055" width="11.875" style="312" customWidth="1"/>
    <col min="2056" max="2056" width="12.75" style="312" customWidth="1"/>
    <col min="2057" max="2057" width="9.25" style="312" customWidth="1"/>
    <col min="2058" max="2058" width="9.625" style="312" customWidth="1"/>
    <col min="2059" max="2059" width="7.75" style="312" customWidth="1"/>
    <col min="2060" max="2060" width="8.375" style="312" customWidth="1"/>
    <col min="2061" max="2061" width="5.875" style="312" customWidth="1"/>
    <col min="2062" max="2062" width="8.875" style="312" customWidth="1"/>
    <col min="2063" max="2063" width="9.25" style="312" customWidth="1"/>
    <col min="2064" max="2064" width="11.125" style="312" customWidth="1"/>
    <col min="2065" max="2065" width="11.875" style="312" customWidth="1"/>
    <col min="2066" max="2066" width="8.75" style="312" customWidth="1"/>
    <col min="2067" max="2067" width="10.25" style="312" customWidth="1"/>
    <col min="2068" max="2068" width="7" style="312" customWidth="1"/>
    <col min="2069" max="2069" width="8" style="312" customWidth="1"/>
    <col min="2070" max="2070" width="7.875" style="312" customWidth="1"/>
    <col min="2071" max="2071" width="11.125" style="312" customWidth="1"/>
    <col min="2072" max="2072" width="10.125" style="312" customWidth="1"/>
    <col min="2073" max="2073" width="11.875" style="312" customWidth="1"/>
    <col min="2074" max="2074" width="11.75" style="312" customWidth="1"/>
    <col min="2075" max="2075" width="9.75" style="312" customWidth="1"/>
    <col min="2076" max="2076" width="10.375" style="312" customWidth="1"/>
    <col min="2077" max="2078" width="7" style="312" customWidth="1"/>
    <col min="2079" max="2079" width="8.125" style="312" customWidth="1"/>
    <col min="2080" max="2080" width="10" style="312" customWidth="1"/>
    <col min="2081" max="2081" width="9.375" style="312" customWidth="1"/>
    <col min="2082" max="2082" width="10.375" style="312" customWidth="1"/>
    <col min="2083" max="2083" width="10.75" style="312" customWidth="1"/>
    <col min="2084" max="2084" width="9.75" style="312" customWidth="1"/>
    <col min="2085" max="2085" width="10.75" style="312" customWidth="1"/>
    <col min="2086" max="2086" width="7" style="312" customWidth="1"/>
    <col min="2087" max="2088" width="8.25" style="312" customWidth="1"/>
    <col min="2089" max="2090" width="10" style="312" customWidth="1"/>
    <col min="2091" max="2092" width="10.75" style="312" customWidth="1"/>
    <col min="2093" max="2093" width="9.75" style="312" customWidth="1"/>
    <col min="2094" max="2094" width="7" style="312" customWidth="1"/>
    <col min="2095" max="2095" width="10.25" style="312" customWidth="1"/>
    <col min="2096" max="2098" width="7" style="312" customWidth="1"/>
    <col min="2099" max="2099" width="11.75" style="312" bestFit="1" customWidth="1"/>
    <col min="2100" max="2100" width="16.25" style="312" customWidth="1"/>
    <col min="2101" max="2101" width="7.125" style="312" bestFit="1" customWidth="1"/>
    <col min="2102" max="2103" width="9.125" style="312"/>
    <col min="2104" max="2104" width="7.125" style="312" bestFit="1" customWidth="1"/>
    <col min="2105" max="2107" width="9.125" style="312"/>
    <col min="2108" max="2110" width="9.75" style="312" bestFit="1" customWidth="1"/>
    <col min="2111" max="2111" width="8.375" style="312" bestFit="1" customWidth="1"/>
    <col min="2112" max="2119" width="9.75" style="312" bestFit="1" customWidth="1"/>
    <col min="2120" max="2304" width="9.125" style="312"/>
    <col min="2305" max="2305" width="9" style="312" customWidth="1"/>
    <col min="2306" max="2306" width="7" style="312" customWidth="1"/>
    <col min="2307" max="2308" width="8" style="312" customWidth="1"/>
    <col min="2309" max="2309" width="10.125" style="312" customWidth="1"/>
    <col min="2310" max="2310" width="9.625" style="312" customWidth="1"/>
    <col min="2311" max="2311" width="11.875" style="312" customWidth="1"/>
    <col min="2312" max="2312" width="12.75" style="312" customWidth="1"/>
    <col min="2313" max="2313" width="9.25" style="312" customWidth="1"/>
    <col min="2314" max="2314" width="9.625" style="312" customWidth="1"/>
    <col min="2315" max="2315" width="7.75" style="312" customWidth="1"/>
    <col min="2316" max="2316" width="8.375" style="312" customWidth="1"/>
    <col min="2317" max="2317" width="5.875" style="312" customWidth="1"/>
    <col min="2318" max="2318" width="8.875" style="312" customWidth="1"/>
    <col min="2319" max="2319" width="9.25" style="312" customWidth="1"/>
    <col min="2320" max="2320" width="11.125" style="312" customWidth="1"/>
    <col min="2321" max="2321" width="11.875" style="312" customWidth="1"/>
    <col min="2322" max="2322" width="8.75" style="312" customWidth="1"/>
    <col min="2323" max="2323" width="10.25" style="312" customWidth="1"/>
    <col min="2324" max="2324" width="7" style="312" customWidth="1"/>
    <col min="2325" max="2325" width="8" style="312" customWidth="1"/>
    <col min="2326" max="2326" width="7.875" style="312" customWidth="1"/>
    <col min="2327" max="2327" width="11.125" style="312" customWidth="1"/>
    <col min="2328" max="2328" width="10.125" style="312" customWidth="1"/>
    <col min="2329" max="2329" width="11.875" style="312" customWidth="1"/>
    <col min="2330" max="2330" width="11.75" style="312" customWidth="1"/>
    <col min="2331" max="2331" width="9.75" style="312" customWidth="1"/>
    <col min="2332" max="2332" width="10.375" style="312" customWidth="1"/>
    <col min="2333" max="2334" width="7" style="312" customWidth="1"/>
    <col min="2335" max="2335" width="8.125" style="312" customWidth="1"/>
    <col min="2336" max="2336" width="10" style="312" customWidth="1"/>
    <col min="2337" max="2337" width="9.375" style="312" customWidth="1"/>
    <col min="2338" max="2338" width="10.375" style="312" customWidth="1"/>
    <col min="2339" max="2339" width="10.75" style="312" customWidth="1"/>
    <col min="2340" max="2340" width="9.75" style="312" customWidth="1"/>
    <col min="2341" max="2341" width="10.75" style="312" customWidth="1"/>
    <col min="2342" max="2342" width="7" style="312" customWidth="1"/>
    <col min="2343" max="2344" width="8.25" style="312" customWidth="1"/>
    <col min="2345" max="2346" width="10" style="312" customWidth="1"/>
    <col min="2347" max="2348" width="10.75" style="312" customWidth="1"/>
    <col min="2349" max="2349" width="9.75" style="312" customWidth="1"/>
    <col min="2350" max="2350" width="7" style="312" customWidth="1"/>
    <col min="2351" max="2351" width="10.25" style="312" customWidth="1"/>
    <col min="2352" max="2354" width="7" style="312" customWidth="1"/>
    <col min="2355" max="2355" width="11.75" style="312" bestFit="1" customWidth="1"/>
    <col min="2356" max="2356" width="16.25" style="312" customWidth="1"/>
    <col min="2357" max="2357" width="7.125" style="312" bestFit="1" customWidth="1"/>
    <col min="2358" max="2359" width="9.125" style="312"/>
    <col min="2360" max="2360" width="7.125" style="312" bestFit="1" customWidth="1"/>
    <col min="2361" max="2363" width="9.125" style="312"/>
    <col min="2364" max="2366" width="9.75" style="312" bestFit="1" customWidth="1"/>
    <col min="2367" max="2367" width="8.375" style="312" bestFit="1" customWidth="1"/>
    <col min="2368" max="2375" width="9.75" style="312" bestFit="1" customWidth="1"/>
    <col min="2376" max="2560" width="9.125" style="312"/>
    <col min="2561" max="2561" width="9" style="312" customWidth="1"/>
    <col min="2562" max="2562" width="7" style="312" customWidth="1"/>
    <col min="2563" max="2564" width="8" style="312" customWidth="1"/>
    <col min="2565" max="2565" width="10.125" style="312" customWidth="1"/>
    <col min="2566" max="2566" width="9.625" style="312" customWidth="1"/>
    <col min="2567" max="2567" width="11.875" style="312" customWidth="1"/>
    <col min="2568" max="2568" width="12.75" style="312" customWidth="1"/>
    <col min="2569" max="2569" width="9.25" style="312" customWidth="1"/>
    <col min="2570" max="2570" width="9.625" style="312" customWidth="1"/>
    <col min="2571" max="2571" width="7.75" style="312" customWidth="1"/>
    <col min="2572" max="2572" width="8.375" style="312" customWidth="1"/>
    <col min="2573" max="2573" width="5.875" style="312" customWidth="1"/>
    <col min="2574" max="2574" width="8.875" style="312" customWidth="1"/>
    <col min="2575" max="2575" width="9.25" style="312" customWidth="1"/>
    <col min="2576" max="2576" width="11.125" style="312" customWidth="1"/>
    <col min="2577" max="2577" width="11.875" style="312" customWidth="1"/>
    <col min="2578" max="2578" width="8.75" style="312" customWidth="1"/>
    <col min="2579" max="2579" width="10.25" style="312" customWidth="1"/>
    <col min="2580" max="2580" width="7" style="312" customWidth="1"/>
    <col min="2581" max="2581" width="8" style="312" customWidth="1"/>
    <col min="2582" max="2582" width="7.875" style="312" customWidth="1"/>
    <col min="2583" max="2583" width="11.125" style="312" customWidth="1"/>
    <col min="2584" max="2584" width="10.125" style="312" customWidth="1"/>
    <col min="2585" max="2585" width="11.875" style="312" customWidth="1"/>
    <col min="2586" max="2586" width="11.75" style="312" customWidth="1"/>
    <col min="2587" max="2587" width="9.75" style="312" customWidth="1"/>
    <col min="2588" max="2588" width="10.375" style="312" customWidth="1"/>
    <col min="2589" max="2590" width="7" style="312" customWidth="1"/>
    <col min="2591" max="2591" width="8.125" style="312" customWidth="1"/>
    <col min="2592" max="2592" width="10" style="312" customWidth="1"/>
    <col min="2593" max="2593" width="9.375" style="312" customWidth="1"/>
    <col min="2594" max="2594" width="10.375" style="312" customWidth="1"/>
    <col min="2595" max="2595" width="10.75" style="312" customWidth="1"/>
    <col min="2596" max="2596" width="9.75" style="312" customWidth="1"/>
    <col min="2597" max="2597" width="10.75" style="312" customWidth="1"/>
    <col min="2598" max="2598" width="7" style="312" customWidth="1"/>
    <col min="2599" max="2600" width="8.25" style="312" customWidth="1"/>
    <col min="2601" max="2602" width="10" style="312" customWidth="1"/>
    <col min="2603" max="2604" width="10.75" style="312" customWidth="1"/>
    <col min="2605" max="2605" width="9.75" style="312" customWidth="1"/>
    <col min="2606" max="2606" width="7" style="312" customWidth="1"/>
    <col min="2607" max="2607" width="10.25" style="312" customWidth="1"/>
    <col min="2608" max="2610" width="7" style="312" customWidth="1"/>
    <col min="2611" max="2611" width="11.75" style="312" bestFit="1" customWidth="1"/>
    <col min="2612" max="2612" width="16.25" style="312" customWidth="1"/>
    <col min="2613" max="2613" width="7.125" style="312" bestFit="1" customWidth="1"/>
    <col min="2614" max="2615" width="9.125" style="312"/>
    <col min="2616" max="2616" width="7.125" style="312" bestFit="1" customWidth="1"/>
    <col min="2617" max="2619" width="9.125" style="312"/>
    <col min="2620" max="2622" width="9.75" style="312" bestFit="1" customWidth="1"/>
    <col min="2623" max="2623" width="8.375" style="312" bestFit="1" customWidth="1"/>
    <col min="2624" max="2631" width="9.75" style="312" bestFit="1" customWidth="1"/>
    <col min="2632" max="2816" width="9.125" style="312"/>
    <col min="2817" max="2817" width="9" style="312" customWidth="1"/>
    <col min="2818" max="2818" width="7" style="312" customWidth="1"/>
    <col min="2819" max="2820" width="8" style="312" customWidth="1"/>
    <col min="2821" max="2821" width="10.125" style="312" customWidth="1"/>
    <col min="2822" max="2822" width="9.625" style="312" customWidth="1"/>
    <col min="2823" max="2823" width="11.875" style="312" customWidth="1"/>
    <col min="2824" max="2824" width="12.75" style="312" customWidth="1"/>
    <col min="2825" max="2825" width="9.25" style="312" customWidth="1"/>
    <col min="2826" max="2826" width="9.625" style="312" customWidth="1"/>
    <col min="2827" max="2827" width="7.75" style="312" customWidth="1"/>
    <col min="2828" max="2828" width="8.375" style="312" customWidth="1"/>
    <col min="2829" max="2829" width="5.875" style="312" customWidth="1"/>
    <col min="2830" max="2830" width="8.875" style="312" customWidth="1"/>
    <col min="2831" max="2831" width="9.25" style="312" customWidth="1"/>
    <col min="2832" max="2832" width="11.125" style="312" customWidth="1"/>
    <col min="2833" max="2833" width="11.875" style="312" customWidth="1"/>
    <col min="2834" max="2834" width="8.75" style="312" customWidth="1"/>
    <col min="2835" max="2835" width="10.25" style="312" customWidth="1"/>
    <col min="2836" max="2836" width="7" style="312" customWidth="1"/>
    <col min="2837" max="2837" width="8" style="312" customWidth="1"/>
    <col min="2838" max="2838" width="7.875" style="312" customWidth="1"/>
    <col min="2839" max="2839" width="11.125" style="312" customWidth="1"/>
    <col min="2840" max="2840" width="10.125" style="312" customWidth="1"/>
    <col min="2841" max="2841" width="11.875" style="312" customWidth="1"/>
    <col min="2842" max="2842" width="11.75" style="312" customWidth="1"/>
    <col min="2843" max="2843" width="9.75" style="312" customWidth="1"/>
    <col min="2844" max="2844" width="10.375" style="312" customWidth="1"/>
    <col min="2845" max="2846" width="7" style="312" customWidth="1"/>
    <col min="2847" max="2847" width="8.125" style="312" customWidth="1"/>
    <col min="2848" max="2848" width="10" style="312" customWidth="1"/>
    <col min="2849" max="2849" width="9.375" style="312" customWidth="1"/>
    <col min="2850" max="2850" width="10.375" style="312" customWidth="1"/>
    <col min="2851" max="2851" width="10.75" style="312" customWidth="1"/>
    <col min="2852" max="2852" width="9.75" style="312" customWidth="1"/>
    <col min="2853" max="2853" width="10.75" style="312" customWidth="1"/>
    <col min="2854" max="2854" width="7" style="312" customWidth="1"/>
    <col min="2855" max="2856" width="8.25" style="312" customWidth="1"/>
    <col min="2857" max="2858" width="10" style="312" customWidth="1"/>
    <col min="2859" max="2860" width="10.75" style="312" customWidth="1"/>
    <col min="2861" max="2861" width="9.75" style="312" customWidth="1"/>
    <col min="2862" max="2862" width="7" style="312" customWidth="1"/>
    <col min="2863" max="2863" width="10.25" style="312" customWidth="1"/>
    <col min="2864" max="2866" width="7" style="312" customWidth="1"/>
    <col min="2867" max="2867" width="11.75" style="312" bestFit="1" customWidth="1"/>
    <col min="2868" max="2868" width="16.25" style="312" customWidth="1"/>
    <col min="2869" max="2869" width="7.125" style="312" bestFit="1" customWidth="1"/>
    <col min="2870" max="2871" width="9.125" style="312"/>
    <col min="2872" max="2872" width="7.125" style="312" bestFit="1" customWidth="1"/>
    <col min="2873" max="2875" width="9.125" style="312"/>
    <col min="2876" max="2878" width="9.75" style="312" bestFit="1" customWidth="1"/>
    <col min="2879" max="2879" width="8.375" style="312" bestFit="1" customWidth="1"/>
    <col min="2880" max="2887" width="9.75" style="312" bestFit="1" customWidth="1"/>
    <col min="2888" max="3072" width="9.125" style="312"/>
    <col min="3073" max="3073" width="9" style="312" customWidth="1"/>
    <col min="3074" max="3074" width="7" style="312" customWidth="1"/>
    <col min="3075" max="3076" width="8" style="312" customWidth="1"/>
    <col min="3077" max="3077" width="10.125" style="312" customWidth="1"/>
    <col min="3078" max="3078" width="9.625" style="312" customWidth="1"/>
    <col min="3079" max="3079" width="11.875" style="312" customWidth="1"/>
    <col min="3080" max="3080" width="12.75" style="312" customWidth="1"/>
    <col min="3081" max="3081" width="9.25" style="312" customWidth="1"/>
    <col min="3082" max="3082" width="9.625" style="312" customWidth="1"/>
    <col min="3083" max="3083" width="7.75" style="312" customWidth="1"/>
    <col min="3084" max="3084" width="8.375" style="312" customWidth="1"/>
    <col min="3085" max="3085" width="5.875" style="312" customWidth="1"/>
    <col min="3086" max="3086" width="8.875" style="312" customWidth="1"/>
    <col min="3087" max="3087" width="9.25" style="312" customWidth="1"/>
    <col min="3088" max="3088" width="11.125" style="312" customWidth="1"/>
    <col min="3089" max="3089" width="11.875" style="312" customWidth="1"/>
    <col min="3090" max="3090" width="8.75" style="312" customWidth="1"/>
    <col min="3091" max="3091" width="10.25" style="312" customWidth="1"/>
    <col min="3092" max="3092" width="7" style="312" customWidth="1"/>
    <col min="3093" max="3093" width="8" style="312" customWidth="1"/>
    <col min="3094" max="3094" width="7.875" style="312" customWidth="1"/>
    <col min="3095" max="3095" width="11.125" style="312" customWidth="1"/>
    <col min="3096" max="3096" width="10.125" style="312" customWidth="1"/>
    <col min="3097" max="3097" width="11.875" style="312" customWidth="1"/>
    <col min="3098" max="3098" width="11.75" style="312" customWidth="1"/>
    <col min="3099" max="3099" width="9.75" style="312" customWidth="1"/>
    <col min="3100" max="3100" width="10.375" style="312" customWidth="1"/>
    <col min="3101" max="3102" width="7" style="312" customWidth="1"/>
    <col min="3103" max="3103" width="8.125" style="312" customWidth="1"/>
    <col min="3104" max="3104" width="10" style="312" customWidth="1"/>
    <col min="3105" max="3105" width="9.375" style="312" customWidth="1"/>
    <col min="3106" max="3106" width="10.375" style="312" customWidth="1"/>
    <col min="3107" max="3107" width="10.75" style="312" customWidth="1"/>
    <col min="3108" max="3108" width="9.75" style="312" customWidth="1"/>
    <col min="3109" max="3109" width="10.75" style="312" customWidth="1"/>
    <col min="3110" max="3110" width="7" style="312" customWidth="1"/>
    <col min="3111" max="3112" width="8.25" style="312" customWidth="1"/>
    <col min="3113" max="3114" width="10" style="312" customWidth="1"/>
    <col min="3115" max="3116" width="10.75" style="312" customWidth="1"/>
    <col min="3117" max="3117" width="9.75" style="312" customWidth="1"/>
    <col min="3118" max="3118" width="7" style="312" customWidth="1"/>
    <col min="3119" max="3119" width="10.25" style="312" customWidth="1"/>
    <col min="3120" max="3122" width="7" style="312" customWidth="1"/>
    <col min="3123" max="3123" width="11.75" style="312" bestFit="1" customWidth="1"/>
    <col min="3124" max="3124" width="16.25" style="312" customWidth="1"/>
    <col min="3125" max="3125" width="7.125" style="312" bestFit="1" customWidth="1"/>
    <col min="3126" max="3127" width="9.125" style="312"/>
    <col min="3128" max="3128" width="7.125" style="312" bestFit="1" customWidth="1"/>
    <col min="3129" max="3131" width="9.125" style="312"/>
    <col min="3132" max="3134" width="9.75" style="312" bestFit="1" customWidth="1"/>
    <col min="3135" max="3135" width="8.375" style="312" bestFit="1" customWidth="1"/>
    <col min="3136" max="3143" width="9.75" style="312" bestFit="1" customWidth="1"/>
    <col min="3144" max="3328" width="9.125" style="312"/>
    <col min="3329" max="3329" width="9" style="312" customWidth="1"/>
    <col min="3330" max="3330" width="7" style="312" customWidth="1"/>
    <col min="3331" max="3332" width="8" style="312" customWidth="1"/>
    <col min="3333" max="3333" width="10.125" style="312" customWidth="1"/>
    <col min="3334" max="3334" width="9.625" style="312" customWidth="1"/>
    <col min="3335" max="3335" width="11.875" style="312" customWidth="1"/>
    <col min="3336" max="3336" width="12.75" style="312" customWidth="1"/>
    <col min="3337" max="3337" width="9.25" style="312" customWidth="1"/>
    <col min="3338" max="3338" width="9.625" style="312" customWidth="1"/>
    <col min="3339" max="3339" width="7.75" style="312" customWidth="1"/>
    <col min="3340" max="3340" width="8.375" style="312" customWidth="1"/>
    <col min="3341" max="3341" width="5.875" style="312" customWidth="1"/>
    <col min="3342" max="3342" width="8.875" style="312" customWidth="1"/>
    <col min="3343" max="3343" width="9.25" style="312" customWidth="1"/>
    <col min="3344" max="3344" width="11.125" style="312" customWidth="1"/>
    <col min="3345" max="3345" width="11.875" style="312" customWidth="1"/>
    <col min="3346" max="3346" width="8.75" style="312" customWidth="1"/>
    <col min="3347" max="3347" width="10.25" style="312" customWidth="1"/>
    <col min="3348" max="3348" width="7" style="312" customWidth="1"/>
    <col min="3349" max="3349" width="8" style="312" customWidth="1"/>
    <col min="3350" max="3350" width="7.875" style="312" customWidth="1"/>
    <col min="3351" max="3351" width="11.125" style="312" customWidth="1"/>
    <col min="3352" max="3352" width="10.125" style="312" customWidth="1"/>
    <col min="3353" max="3353" width="11.875" style="312" customWidth="1"/>
    <col min="3354" max="3354" width="11.75" style="312" customWidth="1"/>
    <col min="3355" max="3355" width="9.75" style="312" customWidth="1"/>
    <col min="3356" max="3356" width="10.375" style="312" customWidth="1"/>
    <col min="3357" max="3358" width="7" style="312" customWidth="1"/>
    <col min="3359" max="3359" width="8.125" style="312" customWidth="1"/>
    <col min="3360" max="3360" width="10" style="312" customWidth="1"/>
    <col min="3361" max="3361" width="9.375" style="312" customWidth="1"/>
    <col min="3362" max="3362" width="10.375" style="312" customWidth="1"/>
    <col min="3363" max="3363" width="10.75" style="312" customWidth="1"/>
    <col min="3364" max="3364" width="9.75" style="312" customWidth="1"/>
    <col min="3365" max="3365" width="10.75" style="312" customWidth="1"/>
    <col min="3366" max="3366" width="7" style="312" customWidth="1"/>
    <col min="3367" max="3368" width="8.25" style="312" customWidth="1"/>
    <col min="3369" max="3370" width="10" style="312" customWidth="1"/>
    <col min="3371" max="3372" width="10.75" style="312" customWidth="1"/>
    <col min="3373" max="3373" width="9.75" style="312" customWidth="1"/>
    <col min="3374" max="3374" width="7" style="312" customWidth="1"/>
    <col min="3375" max="3375" width="10.25" style="312" customWidth="1"/>
    <col min="3376" max="3378" width="7" style="312" customWidth="1"/>
    <col min="3379" max="3379" width="11.75" style="312" bestFit="1" customWidth="1"/>
    <col min="3380" max="3380" width="16.25" style="312" customWidth="1"/>
    <col min="3381" max="3381" width="7.125" style="312" bestFit="1" customWidth="1"/>
    <col min="3382" max="3383" width="9.125" style="312"/>
    <col min="3384" max="3384" width="7.125" style="312" bestFit="1" customWidth="1"/>
    <col min="3385" max="3387" width="9.125" style="312"/>
    <col min="3388" max="3390" width="9.75" style="312" bestFit="1" customWidth="1"/>
    <col min="3391" max="3391" width="8.375" style="312" bestFit="1" customWidth="1"/>
    <col min="3392" max="3399" width="9.75" style="312" bestFit="1" customWidth="1"/>
    <col min="3400" max="3584" width="9.125" style="312"/>
    <col min="3585" max="3585" width="9" style="312" customWidth="1"/>
    <col min="3586" max="3586" width="7" style="312" customWidth="1"/>
    <col min="3587" max="3588" width="8" style="312" customWidth="1"/>
    <col min="3589" max="3589" width="10.125" style="312" customWidth="1"/>
    <col min="3590" max="3590" width="9.625" style="312" customWidth="1"/>
    <col min="3591" max="3591" width="11.875" style="312" customWidth="1"/>
    <col min="3592" max="3592" width="12.75" style="312" customWidth="1"/>
    <col min="3593" max="3593" width="9.25" style="312" customWidth="1"/>
    <col min="3594" max="3594" width="9.625" style="312" customWidth="1"/>
    <col min="3595" max="3595" width="7.75" style="312" customWidth="1"/>
    <col min="3596" max="3596" width="8.375" style="312" customWidth="1"/>
    <col min="3597" max="3597" width="5.875" style="312" customWidth="1"/>
    <col min="3598" max="3598" width="8.875" style="312" customWidth="1"/>
    <col min="3599" max="3599" width="9.25" style="312" customWidth="1"/>
    <col min="3600" max="3600" width="11.125" style="312" customWidth="1"/>
    <col min="3601" max="3601" width="11.875" style="312" customWidth="1"/>
    <col min="3602" max="3602" width="8.75" style="312" customWidth="1"/>
    <col min="3603" max="3603" width="10.25" style="312" customWidth="1"/>
    <col min="3604" max="3604" width="7" style="312" customWidth="1"/>
    <col min="3605" max="3605" width="8" style="312" customWidth="1"/>
    <col min="3606" max="3606" width="7.875" style="312" customWidth="1"/>
    <col min="3607" max="3607" width="11.125" style="312" customWidth="1"/>
    <col min="3608" max="3608" width="10.125" style="312" customWidth="1"/>
    <col min="3609" max="3609" width="11.875" style="312" customWidth="1"/>
    <col min="3610" max="3610" width="11.75" style="312" customWidth="1"/>
    <col min="3611" max="3611" width="9.75" style="312" customWidth="1"/>
    <col min="3612" max="3612" width="10.375" style="312" customWidth="1"/>
    <col min="3613" max="3614" width="7" style="312" customWidth="1"/>
    <col min="3615" max="3615" width="8.125" style="312" customWidth="1"/>
    <col min="3616" max="3616" width="10" style="312" customWidth="1"/>
    <col min="3617" max="3617" width="9.375" style="312" customWidth="1"/>
    <col min="3618" max="3618" width="10.375" style="312" customWidth="1"/>
    <col min="3619" max="3619" width="10.75" style="312" customWidth="1"/>
    <col min="3620" max="3620" width="9.75" style="312" customWidth="1"/>
    <col min="3621" max="3621" width="10.75" style="312" customWidth="1"/>
    <col min="3622" max="3622" width="7" style="312" customWidth="1"/>
    <col min="3623" max="3624" width="8.25" style="312" customWidth="1"/>
    <col min="3625" max="3626" width="10" style="312" customWidth="1"/>
    <col min="3627" max="3628" width="10.75" style="312" customWidth="1"/>
    <col min="3629" max="3629" width="9.75" style="312" customWidth="1"/>
    <col min="3630" max="3630" width="7" style="312" customWidth="1"/>
    <col min="3631" max="3631" width="10.25" style="312" customWidth="1"/>
    <col min="3632" max="3634" width="7" style="312" customWidth="1"/>
    <col min="3635" max="3635" width="11.75" style="312" bestFit="1" customWidth="1"/>
    <col min="3636" max="3636" width="16.25" style="312" customWidth="1"/>
    <col min="3637" max="3637" width="7.125" style="312" bestFit="1" customWidth="1"/>
    <col min="3638" max="3639" width="9.125" style="312"/>
    <col min="3640" max="3640" width="7.125" style="312" bestFit="1" customWidth="1"/>
    <col min="3641" max="3643" width="9.125" style="312"/>
    <col min="3644" max="3646" width="9.75" style="312" bestFit="1" customWidth="1"/>
    <col min="3647" max="3647" width="8.375" style="312" bestFit="1" customWidth="1"/>
    <col min="3648" max="3655" width="9.75" style="312" bestFit="1" customWidth="1"/>
    <col min="3656" max="3840" width="9.125" style="312"/>
    <col min="3841" max="3841" width="9" style="312" customWidth="1"/>
    <col min="3842" max="3842" width="7" style="312" customWidth="1"/>
    <col min="3843" max="3844" width="8" style="312" customWidth="1"/>
    <col min="3845" max="3845" width="10.125" style="312" customWidth="1"/>
    <col min="3846" max="3846" width="9.625" style="312" customWidth="1"/>
    <col min="3847" max="3847" width="11.875" style="312" customWidth="1"/>
    <col min="3848" max="3848" width="12.75" style="312" customWidth="1"/>
    <col min="3849" max="3849" width="9.25" style="312" customWidth="1"/>
    <col min="3850" max="3850" width="9.625" style="312" customWidth="1"/>
    <col min="3851" max="3851" width="7.75" style="312" customWidth="1"/>
    <col min="3852" max="3852" width="8.375" style="312" customWidth="1"/>
    <col min="3853" max="3853" width="5.875" style="312" customWidth="1"/>
    <col min="3854" max="3854" width="8.875" style="312" customWidth="1"/>
    <col min="3855" max="3855" width="9.25" style="312" customWidth="1"/>
    <col min="3856" max="3856" width="11.125" style="312" customWidth="1"/>
    <col min="3857" max="3857" width="11.875" style="312" customWidth="1"/>
    <col min="3858" max="3858" width="8.75" style="312" customWidth="1"/>
    <col min="3859" max="3859" width="10.25" style="312" customWidth="1"/>
    <col min="3860" max="3860" width="7" style="312" customWidth="1"/>
    <col min="3861" max="3861" width="8" style="312" customWidth="1"/>
    <col min="3862" max="3862" width="7.875" style="312" customWidth="1"/>
    <col min="3863" max="3863" width="11.125" style="312" customWidth="1"/>
    <col min="3864" max="3864" width="10.125" style="312" customWidth="1"/>
    <col min="3865" max="3865" width="11.875" style="312" customWidth="1"/>
    <col min="3866" max="3866" width="11.75" style="312" customWidth="1"/>
    <col min="3867" max="3867" width="9.75" style="312" customWidth="1"/>
    <col min="3868" max="3868" width="10.375" style="312" customWidth="1"/>
    <col min="3869" max="3870" width="7" style="312" customWidth="1"/>
    <col min="3871" max="3871" width="8.125" style="312" customWidth="1"/>
    <col min="3872" max="3872" width="10" style="312" customWidth="1"/>
    <col min="3873" max="3873" width="9.375" style="312" customWidth="1"/>
    <col min="3874" max="3874" width="10.375" style="312" customWidth="1"/>
    <col min="3875" max="3875" width="10.75" style="312" customWidth="1"/>
    <col min="3876" max="3876" width="9.75" style="312" customWidth="1"/>
    <col min="3877" max="3877" width="10.75" style="312" customWidth="1"/>
    <col min="3878" max="3878" width="7" style="312" customWidth="1"/>
    <col min="3879" max="3880" width="8.25" style="312" customWidth="1"/>
    <col min="3881" max="3882" width="10" style="312" customWidth="1"/>
    <col min="3883" max="3884" width="10.75" style="312" customWidth="1"/>
    <col min="3885" max="3885" width="9.75" style="312" customWidth="1"/>
    <col min="3886" max="3886" width="7" style="312" customWidth="1"/>
    <col min="3887" max="3887" width="10.25" style="312" customWidth="1"/>
    <col min="3888" max="3890" width="7" style="312" customWidth="1"/>
    <col min="3891" max="3891" width="11.75" style="312" bestFit="1" customWidth="1"/>
    <col min="3892" max="3892" width="16.25" style="312" customWidth="1"/>
    <col min="3893" max="3893" width="7.125" style="312" bestFit="1" customWidth="1"/>
    <col min="3894" max="3895" width="9.125" style="312"/>
    <col min="3896" max="3896" width="7.125" style="312" bestFit="1" customWidth="1"/>
    <col min="3897" max="3899" width="9.125" style="312"/>
    <col min="3900" max="3902" width="9.75" style="312" bestFit="1" customWidth="1"/>
    <col min="3903" max="3903" width="8.375" style="312" bestFit="1" customWidth="1"/>
    <col min="3904" max="3911" width="9.75" style="312" bestFit="1" customWidth="1"/>
    <col min="3912" max="4096" width="9.125" style="312"/>
    <col min="4097" max="4097" width="9" style="312" customWidth="1"/>
    <col min="4098" max="4098" width="7" style="312" customWidth="1"/>
    <col min="4099" max="4100" width="8" style="312" customWidth="1"/>
    <col min="4101" max="4101" width="10.125" style="312" customWidth="1"/>
    <col min="4102" max="4102" width="9.625" style="312" customWidth="1"/>
    <col min="4103" max="4103" width="11.875" style="312" customWidth="1"/>
    <col min="4104" max="4104" width="12.75" style="312" customWidth="1"/>
    <col min="4105" max="4105" width="9.25" style="312" customWidth="1"/>
    <col min="4106" max="4106" width="9.625" style="312" customWidth="1"/>
    <col min="4107" max="4107" width="7.75" style="312" customWidth="1"/>
    <col min="4108" max="4108" width="8.375" style="312" customWidth="1"/>
    <col min="4109" max="4109" width="5.875" style="312" customWidth="1"/>
    <col min="4110" max="4110" width="8.875" style="312" customWidth="1"/>
    <col min="4111" max="4111" width="9.25" style="312" customWidth="1"/>
    <col min="4112" max="4112" width="11.125" style="312" customWidth="1"/>
    <col min="4113" max="4113" width="11.875" style="312" customWidth="1"/>
    <col min="4114" max="4114" width="8.75" style="312" customWidth="1"/>
    <col min="4115" max="4115" width="10.25" style="312" customWidth="1"/>
    <col min="4116" max="4116" width="7" style="312" customWidth="1"/>
    <col min="4117" max="4117" width="8" style="312" customWidth="1"/>
    <col min="4118" max="4118" width="7.875" style="312" customWidth="1"/>
    <col min="4119" max="4119" width="11.125" style="312" customWidth="1"/>
    <col min="4120" max="4120" width="10.125" style="312" customWidth="1"/>
    <col min="4121" max="4121" width="11.875" style="312" customWidth="1"/>
    <col min="4122" max="4122" width="11.75" style="312" customWidth="1"/>
    <col min="4123" max="4123" width="9.75" style="312" customWidth="1"/>
    <col min="4124" max="4124" width="10.375" style="312" customWidth="1"/>
    <col min="4125" max="4126" width="7" style="312" customWidth="1"/>
    <col min="4127" max="4127" width="8.125" style="312" customWidth="1"/>
    <col min="4128" max="4128" width="10" style="312" customWidth="1"/>
    <col min="4129" max="4129" width="9.375" style="312" customWidth="1"/>
    <col min="4130" max="4130" width="10.375" style="312" customWidth="1"/>
    <col min="4131" max="4131" width="10.75" style="312" customWidth="1"/>
    <col min="4132" max="4132" width="9.75" style="312" customWidth="1"/>
    <col min="4133" max="4133" width="10.75" style="312" customWidth="1"/>
    <col min="4134" max="4134" width="7" style="312" customWidth="1"/>
    <col min="4135" max="4136" width="8.25" style="312" customWidth="1"/>
    <col min="4137" max="4138" width="10" style="312" customWidth="1"/>
    <col min="4139" max="4140" width="10.75" style="312" customWidth="1"/>
    <col min="4141" max="4141" width="9.75" style="312" customWidth="1"/>
    <col min="4142" max="4142" width="7" style="312" customWidth="1"/>
    <col min="4143" max="4143" width="10.25" style="312" customWidth="1"/>
    <col min="4144" max="4146" width="7" style="312" customWidth="1"/>
    <col min="4147" max="4147" width="11.75" style="312" bestFit="1" customWidth="1"/>
    <col min="4148" max="4148" width="16.25" style="312" customWidth="1"/>
    <col min="4149" max="4149" width="7.125" style="312" bestFit="1" customWidth="1"/>
    <col min="4150" max="4151" width="9.125" style="312"/>
    <col min="4152" max="4152" width="7.125" style="312" bestFit="1" customWidth="1"/>
    <col min="4153" max="4155" width="9.125" style="312"/>
    <col min="4156" max="4158" width="9.75" style="312" bestFit="1" customWidth="1"/>
    <col min="4159" max="4159" width="8.375" style="312" bestFit="1" customWidth="1"/>
    <col min="4160" max="4167" width="9.75" style="312" bestFit="1" customWidth="1"/>
    <col min="4168" max="4352" width="9.125" style="312"/>
    <col min="4353" max="4353" width="9" style="312" customWidth="1"/>
    <col min="4354" max="4354" width="7" style="312" customWidth="1"/>
    <col min="4355" max="4356" width="8" style="312" customWidth="1"/>
    <col min="4357" max="4357" width="10.125" style="312" customWidth="1"/>
    <col min="4358" max="4358" width="9.625" style="312" customWidth="1"/>
    <col min="4359" max="4359" width="11.875" style="312" customWidth="1"/>
    <col min="4360" max="4360" width="12.75" style="312" customWidth="1"/>
    <col min="4361" max="4361" width="9.25" style="312" customWidth="1"/>
    <col min="4362" max="4362" width="9.625" style="312" customWidth="1"/>
    <col min="4363" max="4363" width="7.75" style="312" customWidth="1"/>
    <col min="4364" max="4364" width="8.375" style="312" customWidth="1"/>
    <col min="4365" max="4365" width="5.875" style="312" customWidth="1"/>
    <col min="4366" max="4366" width="8.875" style="312" customWidth="1"/>
    <col min="4367" max="4367" width="9.25" style="312" customWidth="1"/>
    <col min="4368" max="4368" width="11.125" style="312" customWidth="1"/>
    <col min="4369" max="4369" width="11.875" style="312" customWidth="1"/>
    <col min="4370" max="4370" width="8.75" style="312" customWidth="1"/>
    <col min="4371" max="4371" width="10.25" style="312" customWidth="1"/>
    <col min="4372" max="4372" width="7" style="312" customWidth="1"/>
    <col min="4373" max="4373" width="8" style="312" customWidth="1"/>
    <col min="4374" max="4374" width="7.875" style="312" customWidth="1"/>
    <col min="4375" max="4375" width="11.125" style="312" customWidth="1"/>
    <col min="4376" max="4376" width="10.125" style="312" customWidth="1"/>
    <col min="4377" max="4377" width="11.875" style="312" customWidth="1"/>
    <col min="4378" max="4378" width="11.75" style="312" customWidth="1"/>
    <col min="4379" max="4379" width="9.75" style="312" customWidth="1"/>
    <col min="4380" max="4380" width="10.375" style="312" customWidth="1"/>
    <col min="4381" max="4382" width="7" style="312" customWidth="1"/>
    <col min="4383" max="4383" width="8.125" style="312" customWidth="1"/>
    <col min="4384" max="4384" width="10" style="312" customWidth="1"/>
    <col min="4385" max="4385" width="9.375" style="312" customWidth="1"/>
    <col min="4386" max="4386" width="10.375" style="312" customWidth="1"/>
    <col min="4387" max="4387" width="10.75" style="312" customWidth="1"/>
    <col min="4388" max="4388" width="9.75" style="312" customWidth="1"/>
    <col min="4389" max="4389" width="10.75" style="312" customWidth="1"/>
    <col min="4390" max="4390" width="7" style="312" customWidth="1"/>
    <col min="4391" max="4392" width="8.25" style="312" customWidth="1"/>
    <col min="4393" max="4394" width="10" style="312" customWidth="1"/>
    <col min="4395" max="4396" width="10.75" style="312" customWidth="1"/>
    <col min="4397" max="4397" width="9.75" style="312" customWidth="1"/>
    <col min="4398" max="4398" width="7" style="312" customWidth="1"/>
    <col min="4399" max="4399" width="10.25" style="312" customWidth="1"/>
    <col min="4400" max="4402" width="7" style="312" customWidth="1"/>
    <col min="4403" max="4403" width="11.75" style="312" bestFit="1" customWidth="1"/>
    <col min="4404" max="4404" width="16.25" style="312" customWidth="1"/>
    <col min="4405" max="4405" width="7.125" style="312" bestFit="1" customWidth="1"/>
    <col min="4406" max="4407" width="9.125" style="312"/>
    <col min="4408" max="4408" width="7.125" style="312" bestFit="1" customWidth="1"/>
    <col min="4409" max="4411" width="9.125" style="312"/>
    <col min="4412" max="4414" width="9.75" style="312" bestFit="1" customWidth="1"/>
    <col min="4415" max="4415" width="8.375" style="312" bestFit="1" customWidth="1"/>
    <col min="4416" max="4423" width="9.75" style="312" bestFit="1" customWidth="1"/>
    <col min="4424" max="4608" width="9.125" style="312"/>
    <col min="4609" max="4609" width="9" style="312" customWidth="1"/>
    <col min="4610" max="4610" width="7" style="312" customWidth="1"/>
    <col min="4611" max="4612" width="8" style="312" customWidth="1"/>
    <col min="4613" max="4613" width="10.125" style="312" customWidth="1"/>
    <col min="4614" max="4614" width="9.625" style="312" customWidth="1"/>
    <col min="4615" max="4615" width="11.875" style="312" customWidth="1"/>
    <col min="4616" max="4616" width="12.75" style="312" customWidth="1"/>
    <col min="4617" max="4617" width="9.25" style="312" customWidth="1"/>
    <col min="4618" max="4618" width="9.625" style="312" customWidth="1"/>
    <col min="4619" max="4619" width="7.75" style="312" customWidth="1"/>
    <col min="4620" max="4620" width="8.375" style="312" customWidth="1"/>
    <col min="4621" max="4621" width="5.875" style="312" customWidth="1"/>
    <col min="4622" max="4622" width="8.875" style="312" customWidth="1"/>
    <col min="4623" max="4623" width="9.25" style="312" customWidth="1"/>
    <col min="4624" max="4624" width="11.125" style="312" customWidth="1"/>
    <col min="4625" max="4625" width="11.875" style="312" customWidth="1"/>
    <col min="4626" max="4626" width="8.75" style="312" customWidth="1"/>
    <col min="4627" max="4627" width="10.25" style="312" customWidth="1"/>
    <col min="4628" max="4628" width="7" style="312" customWidth="1"/>
    <col min="4629" max="4629" width="8" style="312" customWidth="1"/>
    <col min="4630" max="4630" width="7.875" style="312" customWidth="1"/>
    <col min="4631" max="4631" width="11.125" style="312" customWidth="1"/>
    <col min="4632" max="4632" width="10.125" style="312" customWidth="1"/>
    <col min="4633" max="4633" width="11.875" style="312" customWidth="1"/>
    <col min="4634" max="4634" width="11.75" style="312" customWidth="1"/>
    <col min="4635" max="4635" width="9.75" style="312" customWidth="1"/>
    <col min="4636" max="4636" width="10.375" style="312" customWidth="1"/>
    <col min="4637" max="4638" width="7" style="312" customWidth="1"/>
    <col min="4639" max="4639" width="8.125" style="312" customWidth="1"/>
    <col min="4640" max="4640" width="10" style="312" customWidth="1"/>
    <col min="4641" max="4641" width="9.375" style="312" customWidth="1"/>
    <col min="4642" max="4642" width="10.375" style="312" customWidth="1"/>
    <col min="4643" max="4643" width="10.75" style="312" customWidth="1"/>
    <col min="4644" max="4644" width="9.75" style="312" customWidth="1"/>
    <col min="4645" max="4645" width="10.75" style="312" customWidth="1"/>
    <col min="4646" max="4646" width="7" style="312" customWidth="1"/>
    <col min="4647" max="4648" width="8.25" style="312" customWidth="1"/>
    <col min="4649" max="4650" width="10" style="312" customWidth="1"/>
    <col min="4651" max="4652" width="10.75" style="312" customWidth="1"/>
    <col min="4653" max="4653" width="9.75" style="312" customWidth="1"/>
    <col min="4654" max="4654" width="7" style="312" customWidth="1"/>
    <col min="4655" max="4655" width="10.25" style="312" customWidth="1"/>
    <col min="4656" max="4658" width="7" style="312" customWidth="1"/>
    <col min="4659" max="4659" width="11.75" style="312" bestFit="1" customWidth="1"/>
    <col min="4660" max="4660" width="16.25" style="312" customWidth="1"/>
    <col min="4661" max="4661" width="7.125" style="312" bestFit="1" customWidth="1"/>
    <col min="4662" max="4663" width="9.125" style="312"/>
    <col min="4664" max="4664" width="7.125" style="312" bestFit="1" customWidth="1"/>
    <col min="4665" max="4667" width="9.125" style="312"/>
    <col min="4668" max="4670" width="9.75" style="312" bestFit="1" customWidth="1"/>
    <col min="4671" max="4671" width="8.375" style="312" bestFit="1" customWidth="1"/>
    <col min="4672" max="4679" width="9.75" style="312" bestFit="1" customWidth="1"/>
    <col min="4680" max="4864" width="9.125" style="312"/>
    <col min="4865" max="4865" width="9" style="312" customWidth="1"/>
    <col min="4866" max="4866" width="7" style="312" customWidth="1"/>
    <col min="4867" max="4868" width="8" style="312" customWidth="1"/>
    <col min="4869" max="4869" width="10.125" style="312" customWidth="1"/>
    <col min="4870" max="4870" width="9.625" style="312" customWidth="1"/>
    <col min="4871" max="4871" width="11.875" style="312" customWidth="1"/>
    <col min="4872" max="4872" width="12.75" style="312" customWidth="1"/>
    <col min="4873" max="4873" width="9.25" style="312" customWidth="1"/>
    <col min="4874" max="4874" width="9.625" style="312" customWidth="1"/>
    <col min="4875" max="4875" width="7.75" style="312" customWidth="1"/>
    <col min="4876" max="4876" width="8.375" style="312" customWidth="1"/>
    <col min="4877" max="4877" width="5.875" style="312" customWidth="1"/>
    <col min="4878" max="4878" width="8.875" style="312" customWidth="1"/>
    <col min="4879" max="4879" width="9.25" style="312" customWidth="1"/>
    <col min="4880" max="4880" width="11.125" style="312" customWidth="1"/>
    <col min="4881" max="4881" width="11.875" style="312" customWidth="1"/>
    <col min="4882" max="4882" width="8.75" style="312" customWidth="1"/>
    <col min="4883" max="4883" width="10.25" style="312" customWidth="1"/>
    <col min="4884" max="4884" width="7" style="312" customWidth="1"/>
    <col min="4885" max="4885" width="8" style="312" customWidth="1"/>
    <col min="4886" max="4886" width="7.875" style="312" customWidth="1"/>
    <col min="4887" max="4887" width="11.125" style="312" customWidth="1"/>
    <col min="4888" max="4888" width="10.125" style="312" customWidth="1"/>
    <col min="4889" max="4889" width="11.875" style="312" customWidth="1"/>
    <col min="4890" max="4890" width="11.75" style="312" customWidth="1"/>
    <col min="4891" max="4891" width="9.75" style="312" customWidth="1"/>
    <col min="4892" max="4892" width="10.375" style="312" customWidth="1"/>
    <col min="4893" max="4894" width="7" style="312" customWidth="1"/>
    <col min="4895" max="4895" width="8.125" style="312" customWidth="1"/>
    <col min="4896" max="4896" width="10" style="312" customWidth="1"/>
    <col min="4897" max="4897" width="9.375" style="312" customWidth="1"/>
    <col min="4898" max="4898" width="10.375" style="312" customWidth="1"/>
    <col min="4899" max="4899" width="10.75" style="312" customWidth="1"/>
    <col min="4900" max="4900" width="9.75" style="312" customWidth="1"/>
    <col min="4901" max="4901" width="10.75" style="312" customWidth="1"/>
    <col min="4902" max="4902" width="7" style="312" customWidth="1"/>
    <col min="4903" max="4904" width="8.25" style="312" customWidth="1"/>
    <col min="4905" max="4906" width="10" style="312" customWidth="1"/>
    <col min="4907" max="4908" width="10.75" style="312" customWidth="1"/>
    <col min="4909" max="4909" width="9.75" style="312" customWidth="1"/>
    <col min="4910" max="4910" width="7" style="312" customWidth="1"/>
    <col min="4911" max="4911" width="10.25" style="312" customWidth="1"/>
    <col min="4912" max="4914" width="7" style="312" customWidth="1"/>
    <col min="4915" max="4915" width="11.75" style="312" bestFit="1" customWidth="1"/>
    <col min="4916" max="4916" width="16.25" style="312" customWidth="1"/>
    <col min="4917" max="4917" width="7.125" style="312" bestFit="1" customWidth="1"/>
    <col min="4918" max="4919" width="9.125" style="312"/>
    <col min="4920" max="4920" width="7.125" style="312" bestFit="1" customWidth="1"/>
    <col min="4921" max="4923" width="9.125" style="312"/>
    <col min="4924" max="4926" width="9.75" style="312" bestFit="1" customWidth="1"/>
    <col min="4927" max="4927" width="8.375" style="312" bestFit="1" customWidth="1"/>
    <col min="4928" max="4935" width="9.75" style="312" bestFit="1" customWidth="1"/>
    <col min="4936" max="5120" width="9.125" style="312"/>
    <col min="5121" max="5121" width="9" style="312" customWidth="1"/>
    <col min="5122" max="5122" width="7" style="312" customWidth="1"/>
    <col min="5123" max="5124" width="8" style="312" customWidth="1"/>
    <col min="5125" max="5125" width="10.125" style="312" customWidth="1"/>
    <col min="5126" max="5126" width="9.625" style="312" customWidth="1"/>
    <col min="5127" max="5127" width="11.875" style="312" customWidth="1"/>
    <col min="5128" max="5128" width="12.75" style="312" customWidth="1"/>
    <col min="5129" max="5129" width="9.25" style="312" customWidth="1"/>
    <col min="5130" max="5130" width="9.625" style="312" customWidth="1"/>
    <col min="5131" max="5131" width="7.75" style="312" customWidth="1"/>
    <col min="5132" max="5132" width="8.375" style="312" customWidth="1"/>
    <col min="5133" max="5133" width="5.875" style="312" customWidth="1"/>
    <col min="5134" max="5134" width="8.875" style="312" customWidth="1"/>
    <col min="5135" max="5135" width="9.25" style="312" customWidth="1"/>
    <col min="5136" max="5136" width="11.125" style="312" customWidth="1"/>
    <col min="5137" max="5137" width="11.875" style="312" customWidth="1"/>
    <col min="5138" max="5138" width="8.75" style="312" customWidth="1"/>
    <col min="5139" max="5139" width="10.25" style="312" customWidth="1"/>
    <col min="5140" max="5140" width="7" style="312" customWidth="1"/>
    <col min="5141" max="5141" width="8" style="312" customWidth="1"/>
    <col min="5142" max="5142" width="7.875" style="312" customWidth="1"/>
    <col min="5143" max="5143" width="11.125" style="312" customWidth="1"/>
    <col min="5144" max="5144" width="10.125" style="312" customWidth="1"/>
    <col min="5145" max="5145" width="11.875" style="312" customWidth="1"/>
    <col min="5146" max="5146" width="11.75" style="312" customWidth="1"/>
    <col min="5147" max="5147" width="9.75" style="312" customWidth="1"/>
    <col min="5148" max="5148" width="10.375" style="312" customWidth="1"/>
    <col min="5149" max="5150" width="7" style="312" customWidth="1"/>
    <col min="5151" max="5151" width="8.125" style="312" customWidth="1"/>
    <col min="5152" max="5152" width="10" style="312" customWidth="1"/>
    <col min="5153" max="5153" width="9.375" style="312" customWidth="1"/>
    <col min="5154" max="5154" width="10.375" style="312" customWidth="1"/>
    <col min="5155" max="5155" width="10.75" style="312" customWidth="1"/>
    <col min="5156" max="5156" width="9.75" style="312" customWidth="1"/>
    <col min="5157" max="5157" width="10.75" style="312" customWidth="1"/>
    <col min="5158" max="5158" width="7" style="312" customWidth="1"/>
    <col min="5159" max="5160" width="8.25" style="312" customWidth="1"/>
    <col min="5161" max="5162" width="10" style="312" customWidth="1"/>
    <col min="5163" max="5164" width="10.75" style="312" customWidth="1"/>
    <col min="5165" max="5165" width="9.75" style="312" customWidth="1"/>
    <col min="5166" max="5166" width="7" style="312" customWidth="1"/>
    <col min="5167" max="5167" width="10.25" style="312" customWidth="1"/>
    <col min="5168" max="5170" width="7" style="312" customWidth="1"/>
    <col min="5171" max="5171" width="11.75" style="312" bestFit="1" customWidth="1"/>
    <col min="5172" max="5172" width="16.25" style="312" customWidth="1"/>
    <col min="5173" max="5173" width="7.125" style="312" bestFit="1" customWidth="1"/>
    <col min="5174" max="5175" width="9.125" style="312"/>
    <col min="5176" max="5176" width="7.125" style="312" bestFit="1" customWidth="1"/>
    <col min="5177" max="5179" width="9.125" style="312"/>
    <col min="5180" max="5182" width="9.75" style="312" bestFit="1" customWidth="1"/>
    <col min="5183" max="5183" width="8.375" style="312" bestFit="1" customWidth="1"/>
    <col min="5184" max="5191" width="9.75" style="312" bestFit="1" customWidth="1"/>
    <col min="5192" max="5376" width="9.125" style="312"/>
    <col min="5377" max="5377" width="9" style="312" customWidth="1"/>
    <col min="5378" max="5378" width="7" style="312" customWidth="1"/>
    <col min="5379" max="5380" width="8" style="312" customWidth="1"/>
    <col min="5381" max="5381" width="10.125" style="312" customWidth="1"/>
    <col min="5382" max="5382" width="9.625" style="312" customWidth="1"/>
    <col min="5383" max="5383" width="11.875" style="312" customWidth="1"/>
    <col min="5384" max="5384" width="12.75" style="312" customWidth="1"/>
    <col min="5385" max="5385" width="9.25" style="312" customWidth="1"/>
    <col min="5386" max="5386" width="9.625" style="312" customWidth="1"/>
    <col min="5387" max="5387" width="7.75" style="312" customWidth="1"/>
    <col min="5388" max="5388" width="8.375" style="312" customWidth="1"/>
    <col min="5389" max="5389" width="5.875" style="312" customWidth="1"/>
    <col min="5390" max="5390" width="8.875" style="312" customWidth="1"/>
    <col min="5391" max="5391" width="9.25" style="312" customWidth="1"/>
    <col min="5392" max="5392" width="11.125" style="312" customWidth="1"/>
    <col min="5393" max="5393" width="11.875" style="312" customWidth="1"/>
    <col min="5394" max="5394" width="8.75" style="312" customWidth="1"/>
    <col min="5395" max="5395" width="10.25" style="312" customWidth="1"/>
    <col min="5396" max="5396" width="7" style="312" customWidth="1"/>
    <col min="5397" max="5397" width="8" style="312" customWidth="1"/>
    <col min="5398" max="5398" width="7.875" style="312" customWidth="1"/>
    <col min="5399" max="5399" width="11.125" style="312" customWidth="1"/>
    <col min="5400" max="5400" width="10.125" style="312" customWidth="1"/>
    <col min="5401" max="5401" width="11.875" style="312" customWidth="1"/>
    <col min="5402" max="5402" width="11.75" style="312" customWidth="1"/>
    <col min="5403" max="5403" width="9.75" style="312" customWidth="1"/>
    <col min="5404" max="5404" width="10.375" style="312" customWidth="1"/>
    <col min="5405" max="5406" width="7" style="312" customWidth="1"/>
    <col min="5407" max="5407" width="8.125" style="312" customWidth="1"/>
    <col min="5408" max="5408" width="10" style="312" customWidth="1"/>
    <col min="5409" max="5409" width="9.375" style="312" customWidth="1"/>
    <col min="5410" max="5410" width="10.375" style="312" customWidth="1"/>
    <col min="5411" max="5411" width="10.75" style="312" customWidth="1"/>
    <col min="5412" max="5412" width="9.75" style="312" customWidth="1"/>
    <col min="5413" max="5413" width="10.75" style="312" customWidth="1"/>
    <col min="5414" max="5414" width="7" style="312" customWidth="1"/>
    <col min="5415" max="5416" width="8.25" style="312" customWidth="1"/>
    <col min="5417" max="5418" width="10" style="312" customWidth="1"/>
    <col min="5419" max="5420" width="10.75" style="312" customWidth="1"/>
    <col min="5421" max="5421" width="9.75" style="312" customWidth="1"/>
    <col min="5422" max="5422" width="7" style="312" customWidth="1"/>
    <col min="5423" max="5423" width="10.25" style="312" customWidth="1"/>
    <col min="5424" max="5426" width="7" style="312" customWidth="1"/>
    <col min="5427" max="5427" width="11.75" style="312" bestFit="1" customWidth="1"/>
    <col min="5428" max="5428" width="16.25" style="312" customWidth="1"/>
    <col min="5429" max="5429" width="7.125" style="312" bestFit="1" customWidth="1"/>
    <col min="5430" max="5431" width="9.125" style="312"/>
    <col min="5432" max="5432" width="7.125" style="312" bestFit="1" customWidth="1"/>
    <col min="5433" max="5435" width="9.125" style="312"/>
    <col min="5436" max="5438" width="9.75" style="312" bestFit="1" customWidth="1"/>
    <col min="5439" max="5439" width="8.375" style="312" bestFit="1" customWidth="1"/>
    <col min="5440" max="5447" width="9.75" style="312" bestFit="1" customWidth="1"/>
    <col min="5448" max="5632" width="9.125" style="312"/>
    <col min="5633" max="5633" width="9" style="312" customWidth="1"/>
    <col min="5634" max="5634" width="7" style="312" customWidth="1"/>
    <col min="5635" max="5636" width="8" style="312" customWidth="1"/>
    <col min="5637" max="5637" width="10.125" style="312" customWidth="1"/>
    <col min="5638" max="5638" width="9.625" style="312" customWidth="1"/>
    <col min="5639" max="5639" width="11.875" style="312" customWidth="1"/>
    <col min="5640" max="5640" width="12.75" style="312" customWidth="1"/>
    <col min="5641" max="5641" width="9.25" style="312" customWidth="1"/>
    <col min="5642" max="5642" width="9.625" style="312" customWidth="1"/>
    <col min="5643" max="5643" width="7.75" style="312" customWidth="1"/>
    <col min="5644" max="5644" width="8.375" style="312" customWidth="1"/>
    <col min="5645" max="5645" width="5.875" style="312" customWidth="1"/>
    <col min="5646" max="5646" width="8.875" style="312" customWidth="1"/>
    <col min="5647" max="5647" width="9.25" style="312" customWidth="1"/>
    <col min="5648" max="5648" width="11.125" style="312" customWidth="1"/>
    <col min="5649" max="5649" width="11.875" style="312" customWidth="1"/>
    <col min="5650" max="5650" width="8.75" style="312" customWidth="1"/>
    <col min="5651" max="5651" width="10.25" style="312" customWidth="1"/>
    <col min="5652" max="5652" width="7" style="312" customWidth="1"/>
    <col min="5653" max="5653" width="8" style="312" customWidth="1"/>
    <col min="5654" max="5654" width="7.875" style="312" customWidth="1"/>
    <col min="5655" max="5655" width="11.125" style="312" customWidth="1"/>
    <col min="5656" max="5656" width="10.125" style="312" customWidth="1"/>
    <col min="5657" max="5657" width="11.875" style="312" customWidth="1"/>
    <col min="5658" max="5658" width="11.75" style="312" customWidth="1"/>
    <col min="5659" max="5659" width="9.75" style="312" customWidth="1"/>
    <col min="5660" max="5660" width="10.375" style="312" customWidth="1"/>
    <col min="5661" max="5662" width="7" style="312" customWidth="1"/>
    <col min="5663" max="5663" width="8.125" style="312" customWidth="1"/>
    <col min="5664" max="5664" width="10" style="312" customWidth="1"/>
    <col min="5665" max="5665" width="9.375" style="312" customWidth="1"/>
    <col min="5666" max="5666" width="10.375" style="312" customWidth="1"/>
    <col min="5667" max="5667" width="10.75" style="312" customWidth="1"/>
    <col min="5668" max="5668" width="9.75" style="312" customWidth="1"/>
    <col min="5669" max="5669" width="10.75" style="312" customWidth="1"/>
    <col min="5670" max="5670" width="7" style="312" customWidth="1"/>
    <col min="5671" max="5672" width="8.25" style="312" customWidth="1"/>
    <col min="5673" max="5674" width="10" style="312" customWidth="1"/>
    <col min="5675" max="5676" width="10.75" style="312" customWidth="1"/>
    <col min="5677" max="5677" width="9.75" style="312" customWidth="1"/>
    <col min="5678" max="5678" width="7" style="312" customWidth="1"/>
    <col min="5679" max="5679" width="10.25" style="312" customWidth="1"/>
    <col min="5680" max="5682" width="7" style="312" customWidth="1"/>
    <col min="5683" max="5683" width="11.75" style="312" bestFit="1" customWidth="1"/>
    <col min="5684" max="5684" width="16.25" style="312" customWidth="1"/>
    <col min="5685" max="5685" width="7.125" style="312" bestFit="1" customWidth="1"/>
    <col min="5686" max="5687" width="9.125" style="312"/>
    <col min="5688" max="5688" width="7.125" style="312" bestFit="1" customWidth="1"/>
    <col min="5689" max="5691" width="9.125" style="312"/>
    <col min="5692" max="5694" width="9.75" style="312" bestFit="1" customWidth="1"/>
    <col min="5695" max="5695" width="8.375" style="312" bestFit="1" customWidth="1"/>
    <col min="5696" max="5703" width="9.75" style="312" bestFit="1" customWidth="1"/>
    <col min="5704" max="5888" width="9.125" style="312"/>
    <col min="5889" max="5889" width="9" style="312" customWidth="1"/>
    <col min="5890" max="5890" width="7" style="312" customWidth="1"/>
    <col min="5891" max="5892" width="8" style="312" customWidth="1"/>
    <col min="5893" max="5893" width="10.125" style="312" customWidth="1"/>
    <col min="5894" max="5894" width="9.625" style="312" customWidth="1"/>
    <col min="5895" max="5895" width="11.875" style="312" customWidth="1"/>
    <col min="5896" max="5896" width="12.75" style="312" customWidth="1"/>
    <col min="5897" max="5897" width="9.25" style="312" customWidth="1"/>
    <col min="5898" max="5898" width="9.625" style="312" customWidth="1"/>
    <col min="5899" max="5899" width="7.75" style="312" customWidth="1"/>
    <col min="5900" max="5900" width="8.375" style="312" customWidth="1"/>
    <col min="5901" max="5901" width="5.875" style="312" customWidth="1"/>
    <col min="5902" max="5902" width="8.875" style="312" customWidth="1"/>
    <col min="5903" max="5903" width="9.25" style="312" customWidth="1"/>
    <col min="5904" max="5904" width="11.125" style="312" customWidth="1"/>
    <col min="5905" max="5905" width="11.875" style="312" customWidth="1"/>
    <col min="5906" max="5906" width="8.75" style="312" customWidth="1"/>
    <col min="5907" max="5907" width="10.25" style="312" customWidth="1"/>
    <col min="5908" max="5908" width="7" style="312" customWidth="1"/>
    <col min="5909" max="5909" width="8" style="312" customWidth="1"/>
    <col min="5910" max="5910" width="7.875" style="312" customWidth="1"/>
    <col min="5911" max="5911" width="11.125" style="312" customWidth="1"/>
    <col min="5912" max="5912" width="10.125" style="312" customWidth="1"/>
    <col min="5913" max="5913" width="11.875" style="312" customWidth="1"/>
    <col min="5914" max="5914" width="11.75" style="312" customWidth="1"/>
    <col min="5915" max="5915" width="9.75" style="312" customWidth="1"/>
    <col min="5916" max="5916" width="10.375" style="312" customWidth="1"/>
    <col min="5917" max="5918" width="7" style="312" customWidth="1"/>
    <col min="5919" max="5919" width="8.125" style="312" customWidth="1"/>
    <col min="5920" max="5920" width="10" style="312" customWidth="1"/>
    <col min="5921" max="5921" width="9.375" style="312" customWidth="1"/>
    <col min="5922" max="5922" width="10.375" style="312" customWidth="1"/>
    <col min="5923" max="5923" width="10.75" style="312" customWidth="1"/>
    <col min="5924" max="5924" width="9.75" style="312" customWidth="1"/>
    <col min="5925" max="5925" width="10.75" style="312" customWidth="1"/>
    <col min="5926" max="5926" width="7" style="312" customWidth="1"/>
    <col min="5927" max="5928" width="8.25" style="312" customWidth="1"/>
    <col min="5929" max="5930" width="10" style="312" customWidth="1"/>
    <col min="5931" max="5932" width="10.75" style="312" customWidth="1"/>
    <col min="5933" max="5933" width="9.75" style="312" customWidth="1"/>
    <col min="5934" max="5934" width="7" style="312" customWidth="1"/>
    <col min="5935" max="5935" width="10.25" style="312" customWidth="1"/>
    <col min="5936" max="5938" width="7" style="312" customWidth="1"/>
    <col min="5939" max="5939" width="11.75" style="312" bestFit="1" customWidth="1"/>
    <col min="5940" max="5940" width="16.25" style="312" customWidth="1"/>
    <col min="5941" max="5941" width="7.125" style="312" bestFit="1" customWidth="1"/>
    <col min="5942" max="5943" width="9.125" style="312"/>
    <col min="5944" max="5944" width="7.125" style="312" bestFit="1" customWidth="1"/>
    <col min="5945" max="5947" width="9.125" style="312"/>
    <col min="5948" max="5950" width="9.75" style="312" bestFit="1" customWidth="1"/>
    <col min="5951" max="5951" width="8.375" style="312" bestFit="1" customWidth="1"/>
    <col min="5952" max="5959" width="9.75" style="312" bestFit="1" customWidth="1"/>
    <col min="5960" max="6144" width="9.125" style="312"/>
    <col min="6145" max="6145" width="9" style="312" customWidth="1"/>
    <col min="6146" max="6146" width="7" style="312" customWidth="1"/>
    <col min="6147" max="6148" width="8" style="312" customWidth="1"/>
    <col min="6149" max="6149" width="10.125" style="312" customWidth="1"/>
    <col min="6150" max="6150" width="9.625" style="312" customWidth="1"/>
    <col min="6151" max="6151" width="11.875" style="312" customWidth="1"/>
    <col min="6152" max="6152" width="12.75" style="312" customWidth="1"/>
    <col min="6153" max="6153" width="9.25" style="312" customWidth="1"/>
    <col min="6154" max="6154" width="9.625" style="312" customWidth="1"/>
    <col min="6155" max="6155" width="7.75" style="312" customWidth="1"/>
    <col min="6156" max="6156" width="8.375" style="312" customWidth="1"/>
    <col min="6157" max="6157" width="5.875" style="312" customWidth="1"/>
    <col min="6158" max="6158" width="8.875" style="312" customWidth="1"/>
    <col min="6159" max="6159" width="9.25" style="312" customWidth="1"/>
    <col min="6160" max="6160" width="11.125" style="312" customWidth="1"/>
    <col min="6161" max="6161" width="11.875" style="312" customWidth="1"/>
    <col min="6162" max="6162" width="8.75" style="312" customWidth="1"/>
    <col min="6163" max="6163" width="10.25" style="312" customWidth="1"/>
    <col min="6164" max="6164" width="7" style="312" customWidth="1"/>
    <col min="6165" max="6165" width="8" style="312" customWidth="1"/>
    <col min="6166" max="6166" width="7.875" style="312" customWidth="1"/>
    <col min="6167" max="6167" width="11.125" style="312" customWidth="1"/>
    <col min="6168" max="6168" width="10.125" style="312" customWidth="1"/>
    <col min="6169" max="6169" width="11.875" style="312" customWidth="1"/>
    <col min="6170" max="6170" width="11.75" style="312" customWidth="1"/>
    <col min="6171" max="6171" width="9.75" style="312" customWidth="1"/>
    <col min="6172" max="6172" width="10.375" style="312" customWidth="1"/>
    <col min="6173" max="6174" width="7" style="312" customWidth="1"/>
    <col min="6175" max="6175" width="8.125" style="312" customWidth="1"/>
    <col min="6176" max="6176" width="10" style="312" customWidth="1"/>
    <col min="6177" max="6177" width="9.375" style="312" customWidth="1"/>
    <col min="6178" max="6178" width="10.375" style="312" customWidth="1"/>
    <col min="6179" max="6179" width="10.75" style="312" customWidth="1"/>
    <col min="6180" max="6180" width="9.75" style="312" customWidth="1"/>
    <col min="6181" max="6181" width="10.75" style="312" customWidth="1"/>
    <col min="6182" max="6182" width="7" style="312" customWidth="1"/>
    <col min="6183" max="6184" width="8.25" style="312" customWidth="1"/>
    <col min="6185" max="6186" width="10" style="312" customWidth="1"/>
    <col min="6187" max="6188" width="10.75" style="312" customWidth="1"/>
    <col min="6189" max="6189" width="9.75" style="312" customWidth="1"/>
    <col min="6190" max="6190" width="7" style="312" customWidth="1"/>
    <col min="6191" max="6191" width="10.25" style="312" customWidth="1"/>
    <col min="6192" max="6194" width="7" style="312" customWidth="1"/>
    <col min="6195" max="6195" width="11.75" style="312" bestFit="1" customWidth="1"/>
    <col min="6196" max="6196" width="16.25" style="312" customWidth="1"/>
    <col min="6197" max="6197" width="7.125" style="312" bestFit="1" customWidth="1"/>
    <col min="6198" max="6199" width="9.125" style="312"/>
    <col min="6200" max="6200" width="7.125" style="312" bestFit="1" customWidth="1"/>
    <col min="6201" max="6203" width="9.125" style="312"/>
    <col min="6204" max="6206" width="9.75" style="312" bestFit="1" customWidth="1"/>
    <col min="6207" max="6207" width="8.375" style="312" bestFit="1" customWidth="1"/>
    <col min="6208" max="6215" width="9.75" style="312" bestFit="1" customWidth="1"/>
    <col min="6216" max="6400" width="9.125" style="312"/>
    <col min="6401" max="6401" width="9" style="312" customWidth="1"/>
    <col min="6402" max="6402" width="7" style="312" customWidth="1"/>
    <col min="6403" max="6404" width="8" style="312" customWidth="1"/>
    <col min="6405" max="6405" width="10.125" style="312" customWidth="1"/>
    <col min="6406" max="6406" width="9.625" style="312" customWidth="1"/>
    <col min="6407" max="6407" width="11.875" style="312" customWidth="1"/>
    <col min="6408" max="6408" width="12.75" style="312" customWidth="1"/>
    <col min="6409" max="6409" width="9.25" style="312" customWidth="1"/>
    <col min="6410" max="6410" width="9.625" style="312" customWidth="1"/>
    <col min="6411" max="6411" width="7.75" style="312" customWidth="1"/>
    <col min="6412" max="6412" width="8.375" style="312" customWidth="1"/>
    <col min="6413" max="6413" width="5.875" style="312" customWidth="1"/>
    <col min="6414" max="6414" width="8.875" style="312" customWidth="1"/>
    <col min="6415" max="6415" width="9.25" style="312" customWidth="1"/>
    <col min="6416" max="6416" width="11.125" style="312" customWidth="1"/>
    <col min="6417" max="6417" width="11.875" style="312" customWidth="1"/>
    <col min="6418" max="6418" width="8.75" style="312" customWidth="1"/>
    <col min="6419" max="6419" width="10.25" style="312" customWidth="1"/>
    <col min="6420" max="6420" width="7" style="312" customWidth="1"/>
    <col min="6421" max="6421" width="8" style="312" customWidth="1"/>
    <col min="6422" max="6422" width="7.875" style="312" customWidth="1"/>
    <col min="6423" max="6423" width="11.125" style="312" customWidth="1"/>
    <col min="6424" max="6424" width="10.125" style="312" customWidth="1"/>
    <col min="6425" max="6425" width="11.875" style="312" customWidth="1"/>
    <col min="6426" max="6426" width="11.75" style="312" customWidth="1"/>
    <col min="6427" max="6427" width="9.75" style="312" customWidth="1"/>
    <col min="6428" max="6428" width="10.375" style="312" customWidth="1"/>
    <col min="6429" max="6430" width="7" style="312" customWidth="1"/>
    <col min="6431" max="6431" width="8.125" style="312" customWidth="1"/>
    <col min="6432" max="6432" width="10" style="312" customWidth="1"/>
    <col min="6433" max="6433" width="9.375" style="312" customWidth="1"/>
    <col min="6434" max="6434" width="10.375" style="312" customWidth="1"/>
    <col min="6435" max="6435" width="10.75" style="312" customWidth="1"/>
    <col min="6436" max="6436" width="9.75" style="312" customWidth="1"/>
    <col min="6437" max="6437" width="10.75" style="312" customWidth="1"/>
    <col min="6438" max="6438" width="7" style="312" customWidth="1"/>
    <col min="6439" max="6440" width="8.25" style="312" customWidth="1"/>
    <col min="6441" max="6442" width="10" style="312" customWidth="1"/>
    <col min="6443" max="6444" width="10.75" style="312" customWidth="1"/>
    <col min="6445" max="6445" width="9.75" style="312" customWidth="1"/>
    <col min="6446" max="6446" width="7" style="312" customWidth="1"/>
    <col min="6447" max="6447" width="10.25" style="312" customWidth="1"/>
    <col min="6448" max="6450" width="7" style="312" customWidth="1"/>
    <col min="6451" max="6451" width="11.75" style="312" bestFit="1" customWidth="1"/>
    <col min="6452" max="6452" width="16.25" style="312" customWidth="1"/>
    <col min="6453" max="6453" width="7.125" style="312" bestFit="1" customWidth="1"/>
    <col min="6454" max="6455" width="9.125" style="312"/>
    <col min="6456" max="6456" width="7.125" style="312" bestFit="1" customWidth="1"/>
    <col min="6457" max="6459" width="9.125" style="312"/>
    <col min="6460" max="6462" width="9.75" style="312" bestFit="1" customWidth="1"/>
    <col min="6463" max="6463" width="8.375" style="312" bestFit="1" customWidth="1"/>
    <col min="6464" max="6471" width="9.75" style="312" bestFit="1" customWidth="1"/>
    <col min="6472" max="6656" width="9.125" style="312"/>
    <col min="6657" max="6657" width="9" style="312" customWidth="1"/>
    <col min="6658" max="6658" width="7" style="312" customWidth="1"/>
    <col min="6659" max="6660" width="8" style="312" customWidth="1"/>
    <col min="6661" max="6661" width="10.125" style="312" customWidth="1"/>
    <col min="6662" max="6662" width="9.625" style="312" customWidth="1"/>
    <col min="6663" max="6663" width="11.875" style="312" customWidth="1"/>
    <col min="6664" max="6664" width="12.75" style="312" customWidth="1"/>
    <col min="6665" max="6665" width="9.25" style="312" customWidth="1"/>
    <col min="6666" max="6666" width="9.625" style="312" customWidth="1"/>
    <col min="6667" max="6667" width="7.75" style="312" customWidth="1"/>
    <col min="6668" max="6668" width="8.375" style="312" customWidth="1"/>
    <col min="6669" max="6669" width="5.875" style="312" customWidth="1"/>
    <col min="6670" max="6670" width="8.875" style="312" customWidth="1"/>
    <col min="6671" max="6671" width="9.25" style="312" customWidth="1"/>
    <col min="6672" max="6672" width="11.125" style="312" customWidth="1"/>
    <col min="6673" max="6673" width="11.875" style="312" customWidth="1"/>
    <col min="6674" max="6674" width="8.75" style="312" customWidth="1"/>
    <col min="6675" max="6675" width="10.25" style="312" customWidth="1"/>
    <col min="6676" max="6676" width="7" style="312" customWidth="1"/>
    <col min="6677" max="6677" width="8" style="312" customWidth="1"/>
    <col min="6678" max="6678" width="7.875" style="312" customWidth="1"/>
    <col min="6679" max="6679" width="11.125" style="312" customWidth="1"/>
    <col min="6680" max="6680" width="10.125" style="312" customWidth="1"/>
    <col min="6681" max="6681" width="11.875" style="312" customWidth="1"/>
    <col min="6682" max="6682" width="11.75" style="312" customWidth="1"/>
    <col min="6683" max="6683" width="9.75" style="312" customWidth="1"/>
    <col min="6684" max="6684" width="10.375" style="312" customWidth="1"/>
    <col min="6685" max="6686" width="7" style="312" customWidth="1"/>
    <col min="6687" max="6687" width="8.125" style="312" customWidth="1"/>
    <col min="6688" max="6688" width="10" style="312" customWidth="1"/>
    <col min="6689" max="6689" width="9.375" style="312" customWidth="1"/>
    <col min="6690" max="6690" width="10.375" style="312" customWidth="1"/>
    <col min="6691" max="6691" width="10.75" style="312" customWidth="1"/>
    <col min="6692" max="6692" width="9.75" style="312" customWidth="1"/>
    <col min="6693" max="6693" width="10.75" style="312" customWidth="1"/>
    <col min="6694" max="6694" width="7" style="312" customWidth="1"/>
    <col min="6695" max="6696" width="8.25" style="312" customWidth="1"/>
    <col min="6697" max="6698" width="10" style="312" customWidth="1"/>
    <col min="6699" max="6700" width="10.75" style="312" customWidth="1"/>
    <col min="6701" max="6701" width="9.75" style="312" customWidth="1"/>
    <col min="6702" max="6702" width="7" style="312" customWidth="1"/>
    <col min="6703" max="6703" width="10.25" style="312" customWidth="1"/>
    <col min="6704" max="6706" width="7" style="312" customWidth="1"/>
    <col min="6707" max="6707" width="11.75" style="312" bestFit="1" customWidth="1"/>
    <col min="6708" max="6708" width="16.25" style="312" customWidth="1"/>
    <col min="6709" max="6709" width="7.125" style="312" bestFit="1" customWidth="1"/>
    <col min="6710" max="6711" width="9.125" style="312"/>
    <col min="6712" max="6712" width="7.125" style="312" bestFit="1" customWidth="1"/>
    <col min="6713" max="6715" width="9.125" style="312"/>
    <col min="6716" max="6718" width="9.75" style="312" bestFit="1" customWidth="1"/>
    <col min="6719" max="6719" width="8.375" style="312" bestFit="1" customWidth="1"/>
    <col min="6720" max="6727" width="9.75" style="312" bestFit="1" customWidth="1"/>
    <col min="6728" max="6912" width="9.125" style="312"/>
    <col min="6913" max="6913" width="9" style="312" customWidth="1"/>
    <col min="6914" max="6914" width="7" style="312" customWidth="1"/>
    <col min="6915" max="6916" width="8" style="312" customWidth="1"/>
    <col min="6917" max="6917" width="10.125" style="312" customWidth="1"/>
    <col min="6918" max="6918" width="9.625" style="312" customWidth="1"/>
    <col min="6919" max="6919" width="11.875" style="312" customWidth="1"/>
    <col min="6920" max="6920" width="12.75" style="312" customWidth="1"/>
    <col min="6921" max="6921" width="9.25" style="312" customWidth="1"/>
    <col min="6922" max="6922" width="9.625" style="312" customWidth="1"/>
    <col min="6923" max="6923" width="7.75" style="312" customWidth="1"/>
    <col min="6924" max="6924" width="8.375" style="312" customWidth="1"/>
    <col min="6925" max="6925" width="5.875" style="312" customWidth="1"/>
    <col min="6926" max="6926" width="8.875" style="312" customWidth="1"/>
    <col min="6927" max="6927" width="9.25" style="312" customWidth="1"/>
    <col min="6928" max="6928" width="11.125" style="312" customWidth="1"/>
    <col min="6929" max="6929" width="11.875" style="312" customWidth="1"/>
    <col min="6930" max="6930" width="8.75" style="312" customWidth="1"/>
    <col min="6931" max="6931" width="10.25" style="312" customWidth="1"/>
    <col min="6932" max="6932" width="7" style="312" customWidth="1"/>
    <col min="6933" max="6933" width="8" style="312" customWidth="1"/>
    <col min="6934" max="6934" width="7.875" style="312" customWidth="1"/>
    <col min="6935" max="6935" width="11.125" style="312" customWidth="1"/>
    <col min="6936" max="6936" width="10.125" style="312" customWidth="1"/>
    <col min="6937" max="6937" width="11.875" style="312" customWidth="1"/>
    <col min="6938" max="6938" width="11.75" style="312" customWidth="1"/>
    <col min="6939" max="6939" width="9.75" style="312" customWidth="1"/>
    <col min="6940" max="6940" width="10.375" style="312" customWidth="1"/>
    <col min="6941" max="6942" width="7" style="312" customWidth="1"/>
    <col min="6943" max="6943" width="8.125" style="312" customWidth="1"/>
    <col min="6944" max="6944" width="10" style="312" customWidth="1"/>
    <col min="6945" max="6945" width="9.375" style="312" customWidth="1"/>
    <col min="6946" max="6946" width="10.375" style="312" customWidth="1"/>
    <col min="6947" max="6947" width="10.75" style="312" customWidth="1"/>
    <col min="6948" max="6948" width="9.75" style="312" customWidth="1"/>
    <col min="6949" max="6949" width="10.75" style="312" customWidth="1"/>
    <col min="6950" max="6950" width="7" style="312" customWidth="1"/>
    <col min="6951" max="6952" width="8.25" style="312" customWidth="1"/>
    <col min="6953" max="6954" width="10" style="312" customWidth="1"/>
    <col min="6955" max="6956" width="10.75" style="312" customWidth="1"/>
    <col min="6957" max="6957" width="9.75" style="312" customWidth="1"/>
    <col min="6958" max="6958" width="7" style="312" customWidth="1"/>
    <col min="6959" max="6959" width="10.25" style="312" customWidth="1"/>
    <col min="6960" max="6962" width="7" style="312" customWidth="1"/>
    <col min="6963" max="6963" width="11.75" style="312" bestFit="1" customWidth="1"/>
    <col min="6964" max="6964" width="16.25" style="312" customWidth="1"/>
    <col min="6965" max="6965" width="7.125" style="312" bestFit="1" customWidth="1"/>
    <col min="6966" max="6967" width="9.125" style="312"/>
    <col min="6968" max="6968" width="7.125" style="312" bestFit="1" customWidth="1"/>
    <col min="6969" max="6971" width="9.125" style="312"/>
    <col min="6972" max="6974" width="9.75" style="312" bestFit="1" customWidth="1"/>
    <col min="6975" max="6975" width="8.375" style="312" bestFit="1" customWidth="1"/>
    <col min="6976" max="6983" width="9.75" style="312" bestFit="1" customWidth="1"/>
    <col min="6984" max="7168" width="9.125" style="312"/>
    <col min="7169" max="7169" width="9" style="312" customWidth="1"/>
    <col min="7170" max="7170" width="7" style="312" customWidth="1"/>
    <col min="7171" max="7172" width="8" style="312" customWidth="1"/>
    <col min="7173" max="7173" width="10.125" style="312" customWidth="1"/>
    <col min="7174" max="7174" width="9.625" style="312" customWidth="1"/>
    <col min="7175" max="7175" width="11.875" style="312" customWidth="1"/>
    <col min="7176" max="7176" width="12.75" style="312" customWidth="1"/>
    <col min="7177" max="7177" width="9.25" style="312" customWidth="1"/>
    <col min="7178" max="7178" width="9.625" style="312" customWidth="1"/>
    <col min="7179" max="7179" width="7.75" style="312" customWidth="1"/>
    <col min="7180" max="7180" width="8.375" style="312" customWidth="1"/>
    <col min="7181" max="7181" width="5.875" style="312" customWidth="1"/>
    <col min="7182" max="7182" width="8.875" style="312" customWidth="1"/>
    <col min="7183" max="7183" width="9.25" style="312" customWidth="1"/>
    <col min="7184" max="7184" width="11.125" style="312" customWidth="1"/>
    <col min="7185" max="7185" width="11.875" style="312" customWidth="1"/>
    <col min="7186" max="7186" width="8.75" style="312" customWidth="1"/>
    <col min="7187" max="7187" width="10.25" style="312" customWidth="1"/>
    <col min="7188" max="7188" width="7" style="312" customWidth="1"/>
    <col min="7189" max="7189" width="8" style="312" customWidth="1"/>
    <col min="7190" max="7190" width="7.875" style="312" customWidth="1"/>
    <col min="7191" max="7191" width="11.125" style="312" customWidth="1"/>
    <col min="7192" max="7192" width="10.125" style="312" customWidth="1"/>
    <col min="7193" max="7193" width="11.875" style="312" customWidth="1"/>
    <col min="7194" max="7194" width="11.75" style="312" customWidth="1"/>
    <col min="7195" max="7195" width="9.75" style="312" customWidth="1"/>
    <col min="7196" max="7196" width="10.375" style="312" customWidth="1"/>
    <col min="7197" max="7198" width="7" style="312" customWidth="1"/>
    <col min="7199" max="7199" width="8.125" style="312" customWidth="1"/>
    <col min="7200" max="7200" width="10" style="312" customWidth="1"/>
    <col min="7201" max="7201" width="9.375" style="312" customWidth="1"/>
    <col min="7202" max="7202" width="10.375" style="312" customWidth="1"/>
    <col min="7203" max="7203" width="10.75" style="312" customWidth="1"/>
    <col min="7204" max="7204" width="9.75" style="312" customWidth="1"/>
    <col min="7205" max="7205" width="10.75" style="312" customWidth="1"/>
    <col min="7206" max="7206" width="7" style="312" customWidth="1"/>
    <col min="7207" max="7208" width="8.25" style="312" customWidth="1"/>
    <col min="7209" max="7210" width="10" style="312" customWidth="1"/>
    <col min="7211" max="7212" width="10.75" style="312" customWidth="1"/>
    <col min="7213" max="7213" width="9.75" style="312" customWidth="1"/>
    <col min="7214" max="7214" width="7" style="312" customWidth="1"/>
    <col min="7215" max="7215" width="10.25" style="312" customWidth="1"/>
    <col min="7216" max="7218" width="7" style="312" customWidth="1"/>
    <col min="7219" max="7219" width="11.75" style="312" bestFit="1" customWidth="1"/>
    <col min="7220" max="7220" width="16.25" style="312" customWidth="1"/>
    <col min="7221" max="7221" width="7.125" style="312" bestFit="1" customWidth="1"/>
    <col min="7222" max="7223" width="9.125" style="312"/>
    <col min="7224" max="7224" width="7.125" style="312" bestFit="1" customWidth="1"/>
    <col min="7225" max="7227" width="9.125" style="312"/>
    <col min="7228" max="7230" width="9.75" style="312" bestFit="1" customWidth="1"/>
    <col min="7231" max="7231" width="8.375" style="312" bestFit="1" customWidth="1"/>
    <col min="7232" max="7239" width="9.75" style="312" bestFit="1" customWidth="1"/>
    <col min="7240" max="7424" width="9.125" style="312"/>
    <col min="7425" max="7425" width="9" style="312" customWidth="1"/>
    <col min="7426" max="7426" width="7" style="312" customWidth="1"/>
    <col min="7427" max="7428" width="8" style="312" customWidth="1"/>
    <col min="7429" max="7429" width="10.125" style="312" customWidth="1"/>
    <col min="7430" max="7430" width="9.625" style="312" customWidth="1"/>
    <col min="7431" max="7431" width="11.875" style="312" customWidth="1"/>
    <col min="7432" max="7432" width="12.75" style="312" customWidth="1"/>
    <col min="7433" max="7433" width="9.25" style="312" customWidth="1"/>
    <col min="7434" max="7434" width="9.625" style="312" customWidth="1"/>
    <col min="7435" max="7435" width="7.75" style="312" customWidth="1"/>
    <col min="7436" max="7436" width="8.375" style="312" customWidth="1"/>
    <col min="7437" max="7437" width="5.875" style="312" customWidth="1"/>
    <col min="7438" max="7438" width="8.875" style="312" customWidth="1"/>
    <col min="7439" max="7439" width="9.25" style="312" customWidth="1"/>
    <col min="7440" max="7440" width="11.125" style="312" customWidth="1"/>
    <col min="7441" max="7441" width="11.875" style="312" customWidth="1"/>
    <col min="7442" max="7442" width="8.75" style="312" customWidth="1"/>
    <col min="7443" max="7443" width="10.25" style="312" customWidth="1"/>
    <col min="7444" max="7444" width="7" style="312" customWidth="1"/>
    <col min="7445" max="7445" width="8" style="312" customWidth="1"/>
    <col min="7446" max="7446" width="7.875" style="312" customWidth="1"/>
    <col min="7447" max="7447" width="11.125" style="312" customWidth="1"/>
    <col min="7448" max="7448" width="10.125" style="312" customWidth="1"/>
    <col min="7449" max="7449" width="11.875" style="312" customWidth="1"/>
    <col min="7450" max="7450" width="11.75" style="312" customWidth="1"/>
    <col min="7451" max="7451" width="9.75" style="312" customWidth="1"/>
    <col min="7452" max="7452" width="10.375" style="312" customWidth="1"/>
    <col min="7453" max="7454" width="7" style="312" customWidth="1"/>
    <col min="7455" max="7455" width="8.125" style="312" customWidth="1"/>
    <col min="7456" max="7456" width="10" style="312" customWidth="1"/>
    <col min="7457" max="7457" width="9.375" style="312" customWidth="1"/>
    <col min="7458" max="7458" width="10.375" style="312" customWidth="1"/>
    <col min="7459" max="7459" width="10.75" style="312" customWidth="1"/>
    <col min="7460" max="7460" width="9.75" style="312" customWidth="1"/>
    <col min="7461" max="7461" width="10.75" style="312" customWidth="1"/>
    <col min="7462" max="7462" width="7" style="312" customWidth="1"/>
    <col min="7463" max="7464" width="8.25" style="312" customWidth="1"/>
    <col min="7465" max="7466" width="10" style="312" customWidth="1"/>
    <col min="7467" max="7468" width="10.75" style="312" customWidth="1"/>
    <col min="7469" max="7469" width="9.75" style="312" customWidth="1"/>
    <col min="7470" max="7470" width="7" style="312" customWidth="1"/>
    <col min="7471" max="7471" width="10.25" style="312" customWidth="1"/>
    <col min="7472" max="7474" width="7" style="312" customWidth="1"/>
    <col min="7475" max="7475" width="11.75" style="312" bestFit="1" customWidth="1"/>
    <col min="7476" max="7476" width="16.25" style="312" customWidth="1"/>
    <col min="7477" max="7477" width="7.125" style="312" bestFit="1" customWidth="1"/>
    <col min="7478" max="7479" width="9.125" style="312"/>
    <col min="7480" max="7480" width="7.125" style="312" bestFit="1" customWidth="1"/>
    <col min="7481" max="7483" width="9.125" style="312"/>
    <col min="7484" max="7486" width="9.75" style="312" bestFit="1" customWidth="1"/>
    <col min="7487" max="7487" width="8.375" style="312" bestFit="1" customWidth="1"/>
    <col min="7488" max="7495" width="9.75" style="312" bestFit="1" customWidth="1"/>
    <col min="7496" max="7680" width="9.125" style="312"/>
    <col min="7681" max="7681" width="9" style="312" customWidth="1"/>
    <col min="7682" max="7682" width="7" style="312" customWidth="1"/>
    <col min="7683" max="7684" width="8" style="312" customWidth="1"/>
    <col min="7685" max="7685" width="10.125" style="312" customWidth="1"/>
    <col min="7686" max="7686" width="9.625" style="312" customWidth="1"/>
    <col min="7687" max="7687" width="11.875" style="312" customWidth="1"/>
    <col min="7688" max="7688" width="12.75" style="312" customWidth="1"/>
    <col min="7689" max="7689" width="9.25" style="312" customWidth="1"/>
    <col min="7690" max="7690" width="9.625" style="312" customWidth="1"/>
    <col min="7691" max="7691" width="7.75" style="312" customWidth="1"/>
    <col min="7692" max="7692" width="8.375" style="312" customWidth="1"/>
    <col min="7693" max="7693" width="5.875" style="312" customWidth="1"/>
    <col min="7694" max="7694" width="8.875" style="312" customWidth="1"/>
    <col min="7695" max="7695" width="9.25" style="312" customWidth="1"/>
    <col min="7696" max="7696" width="11.125" style="312" customWidth="1"/>
    <col min="7697" max="7697" width="11.875" style="312" customWidth="1"/>
    <col min="7698" max="7698" width="8.75" style="312" customWidth="1"/>
    <col min="7699" max="7699" width="10.25" style="312" customWidth="1"/>
    <col min="7700" max="7700" width="7" style="312" customWidth="1"/>
    <col min="7701" max="7701" width="8" style="312" customWidth="1"/>
    <col min="7702" max="7702" width="7.875" style="312" customWidth="1"/>
    <col min="7703" max="7703" width="11.125" style="312" customWidth="1"/>
    <col min="7704" max="7704" width="10.125" style="312" customWidth="1"/>
    <col min="7705" max="7705" width="11.875" style="312" customWidth="1"/>
    <col min="7706" max="7706" width="11.75" style="312" customWidth="1"/>
    <col min="7707" max="7707" width="9.75" style="312" customWidth="1"/>
    <col min="7708" max="7708" width="10.375" style="312" customWidth="1"/>
    <col min="7709" max="7710" width="7" style="312" customWidth="1"/>
    <col min="7711" max="7711" width="8.125" style="312" customWidth="1"/>
    <col min="7712" max="7712" width="10" style="312" customWidth="1"/>
    <col min="7713" max="7713" width="9.375" style="312" customWidth="1"/>
    <col min="7714" max="7714" width="10.375" style="312" customWidth="1"/>
    <col min="7715" max="7715" width="10.75" style="312" customWidth="1"/>
    <col min="7716" max="7716" width="9.75" style="312" customWidth="1"/>
    <col min="7717" max="7717" width="10.75" style="312" customWidth="1"/>
    <col min="7718" max="7718" width="7" style="312" customWidth="1"/>
    <col min="7719" max="7720" width="8.25" style="312" customWidth="1"/>
    <col min="7721" max="7722" width="10" style="312" customWidth="1"/>
    <col min="7723" max="7724" width="10.75" style="312" customWidth="1"/>
    <col min="7725" max="7725" width="9.75" style="312" customWidth="1"/>
    <col min="7726" max="7726" width="7" style="312" customWidth="1"/>
    <col min="7727" max="7727" width="10.25" style="312" customWidth="1"/>
    <col min="7728" max="7730" width="7" style="312" customWidth="1"/>
    <col min="7731" max="7731" width="11.75" style="312" bestFit="1" customWidth="1"/>
    <col min="7732" max="7732" width="16.25" style="312" customWidth="1"/>
    <col min="7733" max="7733" width="7.125" style="312" bestFit="1" customWidth="1"/>
    <col min="7734" max="7735" width="9.125" style="312"/>
    <col min="7736" max="7736" width="7.125" style="312" bestFit="1" customWidth="1"/>
    <col min="7737" max="7739" width="9.125" style="312"/>
    <col min="7740" max="7742" width="9.75" style="312" bestFit="1" customWidth="1"/>
    <col min="7743" max="7743" width="8.375" style="312" bestFit="1" customWidth="1"/>
    <col min="7744" max="7751" width="9.75" style="312" bestFit="1" customWidth="1"/>
    <col min="7752" max="7936" width="9.125" style="312"/>
    <col min="7937" max="7937" width="9" style="312" customWidth="1"/>
    <col min="7938" max="7938" width="7" style="312" customWidth="1"/>
    <col min="7939" max="7940" width="8" style="312" customWidth="1"/>
    <col min="7941" max="7941" width="10.125" style="312" customWidth="1"/>
    <col min="7942" max="7942" width="9.625" style="312" customWidth="1"/>
    <col min="7943" max="7943" width="11.875" style="312" customWidth="1"/>
    <col min="7944" max="7944" width="12.75" style="312" customWidth="1"/>
    <col min="7945" max="7945" width="9.25" style="312" customWidth="1"/>
    <col min="7946" max="7946" width="9.625" style="312" customWidth="1"/>
    <col min="7947" max="7947" width="7.75" style="312" customWidth="1"/>
    <col min="7948" max="7948" width="8.375" style="312" customWidth="1"/>
    <col min="7949" max="7949" width="5.875" style="312" customWidth="1"/>
    <col min="7950" max="7950" width="8.875" style="312" customWidth="1"/>
    <col min="7951" max="7951" width="9.25" style="312" customWidth="1"/>
    <col min="7952" max="7952" width="11.125" style="312" customWidth="1"/>
    <col min="7953" max="7953" width="11.875" style="312" customWidth="1"/>
    <col min="7954" max="7954" width="8.75" style="312" customWidth="1"/>
    <col min="7955" max="7955" width="10.25" style="312" customWidth="1"/>
    <col min="7956" max="7956" width="7" style="312" customWidth="1"/>
    <col min="7957" max="7957" width="8" style="312" customWidth="1"/>
    <col min="7958" max="7958" width="7.875" style="312" customWidth="1"/>
    <col min="7959" max="7959" width="11.125" style="312" customWidth="1"/>
    <col min="7960" max="7960" width="10.125" style="312" customWidth="1"/>
    <col min="7961" max="7961" width="11.875" style="312" customWidth="1"/>
    <col min="7962" max="7962" width="11.75" style="312" customWidth="1"/>
    <col min="7963" max="7963" width="9.75" style="312" customWidth="1"/>
    <col min="7964" max="7964" width="10.375" style="312" customWidth="1"/>
    <col min="7965" max="7966" width="7" style="312" customWidth="1"/>
    <col min="7967" max="7967" width="8.125" style="312" customWidth="1"/>
    <col min="7968" max="7968" width="10" style="312" customWidth="1"/>
    <col min="7969" max="7969" width="9.375" style="312" customWidth="1"/>
    <col min="7970" max="7970" width="10.375" style="312" customWidth="1"/>
    <col min="7971" max="7971" width="10.75" style="312" customWidth="1"/>
    <col min="7972" max="7972" width="9.75" style="312" customWidth="1"/>
    <col min="7973" max="7973" width="10.75" style="312" customWidth="1"/>
    <col min="7974" max="7974" width="7" style="312" customWidth="1"/>
    <col min="7975" max="7976" width="8.25" style="312" customWidth="1"/>
    <col min="7977" max="7978" width="10" style="312" customWidth="1"/>
    <col min="7979" max="7980" width="10.75" style="312" customWidth="1"/>
    <col min="7981" max="7981" width="9.75" style="312" customWidth="1"/>
    <col min="7982" max="7982" width="7" style="312" customWidth="1"/>
    <col min="7983" max="7983" width="10.25" style="312" customWidth="1"/>
    <col min="7984" max="7986" width="7" style="312" customWidth="1"/>
    <col min="7987" max="7987" width="11.75" style="312" bestFit="1" customWidth="1"/>
    <col min="7988" max="7988" width="16.25" style="312" customWidth="1"/>
    <col min="7989" max="7989" width="7.125" style="312" bestFit="1" customWidth="1"/>
    <col min="7990" max="7991" width="9.125" style="312"/>
    <col min="7992" max="7992" width="7.125" style="312" bestFit="1" customWidth="1"/>
    <col min="7993" max="7995" width="9.125" style="312"/>
    <col min="7996" max="7998" width="9.75" style="312" bestFit="1" customWidth="1"/>
    <col min="7999" max="7999" width="8.375" style="312" bestFit="1" customWidth="1"/>
    <col min="8000" max="8007" width="9.75" style="312" bestFit="1" customWidth="1"/>
    <col min="8008" max="8192" width="9.125" style="312"/>
    <col min="8193" max="8193" width="9" style="312" customWidth="1"/>
    <col min="8194" max="8194" width="7" style="312" customWidth="1"/>
    <col min="8195" max="8196" width="8" style="312" customWidth="1"/>
    <col min="8197" max="8197" width="10.125" style="312" customWidth="1"/>
    <col min="8198" max="8198" width="9.625" style="312" customWidth="1"/>
    <col min="8199" max="8199" width="11.875" style="312" customWidth="1"/>
    <col min="8200" max="8200" width="12.75" style="312" customWidth="1"/>
    <col min="8201" max="8201" width="9.25" style="312" customWidth="1"/>
    <col min="8202" max="8202" width="9.625" style="312" customWidth="1"/>
    <col min="8203" max="8203" width="7.75" style="312" customWidth="1"/>
    <col min="8204" max="8204" width="8.375" style="312" customWidth="1"/>
    <col min="8205" max="8205" width="5.875" style="312" customWidth="1"/>
    <col min="8206" max="8206" width="8.875" style="312" customWidth="1"/>
    <col min="8207" max="8207" width="9.25" style="312" customWidth="1"/>
    <col min="8208" max="8208" width="11.125" style="312" customWidth="1"/>
    <col min="8209" max="8209" width="11.875" style="312" customWidth="1"/>
    <col min="8210" max="8210" width="8.75" style="312" customWidth="1"/>
    <col min="8211" max="8211" width="10.25" style="312" customWidth="1"/>
    <col min="8212" max="8212" width="7" style="312" customWidth="1"/>
    <col min="8213" max="8213" width="8" style="312" customWidth="1"/>
    <col min="8214" max="8214" width="7.875" style="312" customWidth="1"/>
    <col min="8215" max="8215" width="11.125" style="312" customWidth="1"/>
    <col min="8216" max="8216" width="10.125" style="312" customWidth="1"/>
    <col min="8217" max="8217" width="11.875" style="312" customWidth="1"/>
    <col min="8218" max="8218" width="11.75" style="312" customWidth="1"/>
    <col min="8219" max="8219" width="9.75" style="312" customWidth="1"/>
    <col min="8220" max="8220" width="10.375" style="312" customWidth="1"/>
    <col min="8221" max="8222" width="7" style="312" customWidth="1"/>
    <col min="8223" max="8223" width="8.125" style="312" customWidth="1"/>
    <col min="8224" max="8224" width="10" style="312" customWidth="1"/>
    <col min="8225" max="8225" width="9.375" style="312" customWidth="1"/>
    <col min="8226" max="8226" width="10.375" style="312" customWidth="1"/>
    <col min="8227" max="8227" width="10.75" style="312" customWidth="1"/>
    <col min="8228" max="8228" width="9.75" style="312" customWidth="1"/>
    <col min="8229" max="8229" width="10.75" style="312" customWidth="1"/>
    <col min="8230" max="8230" width="7" style="312" customWidth="1"/>
    <col min="8231" max="8232" width="8.25" style="312" customWidth="1"/>
    <col min="8233" max="8234" width="10" style="312" customWidth="1"/>
    <col min="8235" max="8236" width="10.75" style="312" customWidth="1"/>
    <col min="8237" max="8237" width="9.75" style="312" customWidth="1"/>
    <col min="8238" max="8238" width="7" style="312" customWidth="1"/>
    <col min="8239" max="8239" width="10.25" style="312" customWidth="1"/>
    <col min="8240" max="8242" width="7" style="312" customWidth="1"/>
    <col min="8243" max="8243" width="11.75" style="312" bestFit="1" customWidth="1"/>
    <col min="8244" max="8244" width="16.25" style="312" customWidth="1"/>
    <col min="8245" max="8245" width="7.125" style="312" bestFit="1" customWidth="1"/>
    <col min="8246" max="8247" width="9.125" style="312"/>
    <col min="8248" max="8248" width="7.125" style="312" bestFit="1" customWidth="1"/>
    <col min="8249" max="8251" width="9.125" style="312"/>
    <col min="8252" max="8254" width="9.75" style="312" bestFit="1" customWidth="1"/>
    <col min="8255" max="8255" width="8.375" style="312" bestFit="1" customWidth="1"/>
    <col min="8256" max="8263" width="9.75" style="312" bestFit="1" customWidth="1"/>
    <col min="8264" max="8448" width="9.125" style="312"/>
    <col min="8449" max="8449" width="9" style="312" customWidth="1"/>
    <col min="8450" max="8450" width="7" style="312" customWidth="1"/>
    <col min="8451" max="8452" width="8" style="312" customWidth="1"/>
    <col min="8453" max="8453" width="10.125" style="312" customWidth="1"/>
    <col min="8454" max="8454" width="9.625" style="312" customWidth="1"/>
    <col min="8455" max="8455" width="11.875" style="312" customWidth="1"/>
    <col min="8456" max="8456" width="12.75" style="312" customWidth="1"/>
    <col min="8457" max="8457" width="9.25" style="312" customWidth="1"/>
    <col min="8458" max="8458" width="9.625" style="312" customWidth="1"/>
    <col min="8459" max="8459" width="7.75" style="312" customWidth="1"/>
    <col min="8460" max="8460" width="8.375" style="312" customWidth="1"/>
    <col min="8461" max="8461" width="5.875" style="312" customWidth="1"/>
    <col min="8462" max="8462" width="8.875" style="312" customWidth="1"/>
    <col min="8463" max="8463" width="9.25" style="312" customWidth="1"/>
    <col min="8464" max="8464" width="11.125" style="312" customWidth="1"/>
    <col min="8465" max="8465" width="11.875" style="312" customWidth="1"/>
    <col min="8466" max="8466" width="8.75" style="312" customWidth="1"/>
    <col min="8467" max="8467" width="10.25" style="312" customWidth="1"/>
    <col min="8468" max="8468" width="7" style="312" customWidth="1"/>
    <col min="8469" max="8469" width="8" style="312" customWidth="1"/>
    <col min="8470" max="8470" width="7.875" style="312" customWidth="1"/>
    <col min="8471" max="8471" width="11.125" style="312" customWidth="1"/>
    <col min="8472" max="8472" width="10.125" style="312" customWidth="1"/>
    <col min="8473" max="8473" width="11.875" style="312" customWidth="1"/>
    <col min="8474" max="8474" width="11.75" style="312" customWidth="1"/>
    <col min="8475" max="8475" width="9.75" style="312" customWidth="1"/>
    <col min="8476" max="8476" width="10.375" style="312" customWidth="1"/>
    <col min="8477" max="8478" width="7" style="312" customWidth="1"/>
    <col min="8479" max="8479" width="8.125" style="312" customWidth="1"/>
    <col min="8480" max="8480" width="10" style="312" customWidth="1"/>
    <col min="8481" max="8481" width="9.375" style="312" customWidth="1"/>
    <col min="8482" max="8482" width="10.375" style="312" customWidth="1"/>
    <col min="8483" max="8483" width="10.75" style="312" customWidth="1"/>
    <col min="8484" max="8484" width="9.75" style="312" customWidth="1"/>
    <col min="8485" max="8485" width="10.75" style="312" customWidth="1"/>
    <col min="8486" max="8486" width="7" style="312" customWidth="1"/>
    <col min="8487" max="8488" width="8.25" style="312" customWidth="1"/>
    <col min="8489" max="8490" width="10" style="312" customWidth="1"/>
    <col min="8491" max="8492" width="10.75" style="312" customWidth="1"/>
    <col min="8493" max="8493" width="9.75" style="312" customWidth="1"/>
    <col min="8494" max="8494" width="7" style="312" customWidth="1"/>
    <col min="8495" max="8495" width="10.25" style="312" customWidth="1"/>
    <col min="8496" max="8498" width="7" style="312" customWidth="1"/>
    <col min="8499" max="8499" width="11.75" style="312" bestFit="1" customWidth="1"/>
    <col min="8500" max="8500" width="16.25" style="312" customWidth="1"/>
    <col min="8501" max="8501" width="7.125" style="312" bestFit="1" customWidth="1"/>
    <col min="8502" max="8503" width="9.125" style="312"/>
    <col min="8504" max="8504" width="7.125" style="312" bestFit="1" customWidth="1"/>
    <col min="8505" max="8507" width="9.125" style="312"/>
    <col min="8508" max="8510" width="9.75" style="312" bestFit="1" customWidth="1"/>
    <col min="8511" max="8511" width="8.375" style="312" bestFit="1" customWidth="1"/>
    <col min="8512" max="8519" width="9.75" style="312" bestFit="1" customWidth="1"/>
    <col min="8520" max="8704" width="9.125" style="312"/>
    <col min="8705" max="8705" width="9" style="312" customWidth="1"/>
    <col min="8706" max="8706" width="7" style="312" customWidth="1"/>
    <col min="8707" max="8708" width="8" style="312" customWidth="1"/>
    <col min="8709" max="8709" width="10.125" style="312" customWidth="1"/>
    <col min="8710" max="8710" width="9.625" style="312" customWidth="1"/>
    <col min="8711" max="8711" width="11.875" style="312" customWidth="1"/>
    <col min="8712" max="8712" width="12.75" style="312" customWidth="1"/>
    <col min="8713" max="8713" width="9.25" style="312" customWidth="1"/>
    <col min="8714" max="8714" width="9.625" style="312" customWidth="1"/>
    <col min="8715" max="8715" width="7.75" style="312" customWidth="1"/>
    <col min="8716" max="8716" width="8.375" style="312" customWidth="1"/>
    <col min="8717" max="8717" width="5.875" style="312" customWidth="1"/>
    <col min="8718" max="8718" width="8.875" style="312" customWidth="1"/>
    <col min="8719" max="8719" width="9.25" style="312" customWidth="1"/>
    <col min="8720" max="8720" width="11.125" style="312" customWidth="1"/>
    <col min="8721" max="8721" width="11.875" style="312" customWidth="1"/>
    <col min="8722" max="8722" width="8.75" style="312" customWidth="1"/>
    <col min="8723" max="8723" width="10.25" style="312" customWidth="1"/>
    <col min="8724" max="8724" width="7" style="312" customWidth="1"/>
    <col min="8725" max="8725" width="8" style="312" customWidth="1"/>
    <col min="8726" max="8726" width="7.875" style="312" customWidth="1"/>
    <col min="8727" max="8727" width="11.125" style="312" customWidth="1"/>
    <col min="8728" max="8728" width="10.125" style="312" customWidth="1"/>
    <col min="8729" max="8729" width="11.875" style="312" customWidth="1"/>
    <col min="8730" max="8730" width="11.75" style="312" customWidth="1"/>
    <col min="8731" max="8731" width="9.75" style="312" customWidth="1"/>
    <col min="8732" max="8732" width="10.375" style="312" customWidth="1"/>
    <col min="8733" max="8734" width="7" style="312" customWidth="1"/>
    <col min="8735" max="8735" width="8.125" style="312" customWidth="1"/>
    <col min="8736" max="8736" width="10" style="312" customWidth="1"/>
    <col min="8737" max="8737" width="9.375" style="312" customWidth="1"/>
    <col min="8738" max="8738" width="10.375" style="312" customWidth="1"/>
    <col min="8739" max="8739" width="10.75" style="312" customWidth="1"/>
    <col min="8740" max="8740" width="9.75" style="312" customWidth="1"/>
    <col min="8741" max="8741" width="10.75" style="312" customWidth="1"/>
    <col min="8742" max="8742" width="7" style="312" customWidth="1"/>
    <col min="8743" max="8744" width="8.25" style="312" customWidth="1"/>
    <col min="8745" max="8746" width="10" style="312" customWidth="1"/>
    <col min="8747" max="8748" width="10.75" style="312" customWidth="1"/>
    <col min="8749" max="8749" width="9.75" style="312" customWidth="1"/>
    <col min="8750" max="8750" width="7" style="312" customWidth="1"/>
    <col min="8751" max="8751" width="10.25" style="312" customWidth="1"/>
    <col min="8752" max="8754" width="7" style="312" customWidth="1"/>
    <col min="8755" max="8755" width="11.75" style="312" bestFit="1" customWidth="1"/>
    <col min="8756" max="8756" width="16.25" style="312" customWidth="1"/>
    <col min="8757" max="8757" width="7.125" style="312" bestFit="1" customWidth="1"/>
    <col min="8758" max="8759" width="9.125" style="312"/>
    <col min="8760" max="8760" width="7.125" style="312" bestFit="1" customWidth="1"/>
    <col min="8761" max="8763" width="9.125" style="312"/>
    <col min="8764" max="8766" width="9.75" style="312" bestFit="1" customWidth="1"/>
    <col min="8767" max="8767" width="8.375" style="312" bestFit="1" customWidth="1"/>
    <col min="8768" max="8775" width="9.75" style="312" bestFit="1" customWidth="1"/>
    <col min="8776" max="8960" width="9.125" style="312"/>
    <col min="8961" max="8961" width="9" style="312" customWidth="1"/>
    <col min="8962" max="8962" width="7" style="312" customWidth="1"/>
    <col min="8963" max="8964" width="8" style="312" customWidth="1"/>
    <col min="8965" max="8965" width="10.125" style="312" customWidth="1"/>
    <col min="8966" max="8966" width="9.625" style="312" customWidth="1"/>
    <col min="8967" max="8967" width="11.875" style="312" customWidth="1"/>
    <col min="8968" max="8968" width="12.75" style="312" customWidth="1"/>
    <col min="8969" max="8969" width="9.25" style="312" customWidth="1"/>
    <col min="8970" max="8970" width="9.625" style="312" customWidth="1"/>
    <col min="8971" max="8971" width="7.75" style="312" customWidth="1"/>
    <col min="8972" max="8972" width="8.375" style="312" customWidth="1"/>
    <col min="8973" max="8973" width="5.875" style="312" customWidth="1"/>
    <col min="8974" max="8974" width="8.875" style="312" customWidth="1"/>
    <col min="8975" max="8975" width="9.25" style="312" customWidth="1"/>
    <col min="8976" max="8976" width="11.125" style="312" customWidth="1"/>
    <col min="8977" max="8977" width="11.875" style="312" customWidth="1"/>
    <col min="8978" max="8978" width="8.75" style="312" customWidth="1"/>
    <col min="8979" max="8979" width="10.25" style="312" customWidth="1"/>
    <col min="8980" max="8980" width="7" style="312" customWidth="1"/>
    <col min="8981" max="8981" width="8" style="312" customWidth="1"/>
    <col min="8982" max="8982" width="7.875" style="312" customWidth="1"/>
    <col min="8983" max="8983" width="11.125" style="312" customWidth="1"/>
    <col min="8984" max="8984" width="10.125" style="312" customWidth="1"/>
    <col min="8985" max="8985" width="11.875" style="312" customWidth="1"/>
    <col min="8986" max="8986" width="11.75" style="312" customWidth="1"/>
    <col min="8987" max="8987" width="9.75" style="312" customWidth="1"/>
    <col min="8988" max="8988" width="10.375" style="312" customWidth="1"/>
    <col min="8989" max="8990" width="7" style="312" customWidth="1"/>
    <col min="8991" max="8991" width="8.125" style="312" customWidth="1"/>
    <col min="8992" max="8992" width="10" style="312" customWidth="1"/>
    <col min="8993" max="8993" width="9.375" style="312" customWidth="1"/>
    <col min="8994" max="8994" width="10.375" style="312" customWidth="1"/>
    <col min="8995" max="8995" width="10.75" style="312" customWidth="1"/>
    <col min="8996" max="8996" width="9.75" style="312" customWidth="1"/>
    <col min="8997" max="8997" width="10.75" style="312" customWidth="1"/>
    <col min="8998" max="8998" width="7" style="312" customWidth="1"/>
    <col min="8999" max="9000" width="8.25" style="312" customWidth="1"/>
    <col min="9001" max="9002" width="10" style="312" customWidth="1"/>
    <col min="9003" max="9004" width="10.75" style="312" customWidth="1"/>
    <col min="9005" max="9005" width="9.75" style="312" customWidth="1"/>
    <col min="9006" max="9006" width="7" style="312" customWidth="1"/>
    <col min="9007" max="9007" width="10.25" style="312" customWidth="1"/>
    <col min="9008" max="9010" width="7" style="312" customWidth="1"/>
    <col min="9011" max="9011" width="11.75" style="312" bestFit="1" customWidth="1"/>
    <col min="9012" max="9012" width="16.25" style="312" customWidth="1"/>
    <col min="9013" max="9013" width="7.125" style="312" bestFit="1" customWidth="1"/>
    <col min="9014" max="9015" width="9.125" style="312"/>
    <col min="9016" max="9016" width="7.125" style="312" bestFit="1" customWidth="1"/>
    <col min="9017" max="9019" width="9.125" style="312"/>
    <col min="9020" max="9022" width="9.75" style="312" bestFit="1" customWidth="1"/>
    <col min="9023" max="9023" width="8.375" style="312" bestFit="1" customWidth="1"/>
    <col min="9024" max="9031" width="9.75" style="312" bestFit="1" customWidth="1"/>
    <col min="9032" max="9216" width="9.125" style="312"/>
    <col min="9217" max="9217" width="9" style="312" customWidth="1"/>
    <col min="9218" max="9218" width="7" style="312" customWidth="1"/>
    <col min="9219" max="9220" width="8" style="312" customWidth="1"/>
    <col min="9221" max="9221" width="10.125" style="312" customWidth="1"/>
    <col min="9222" max="9222" width="9.625" style="312" customWidth="1"/>
    <col min="9223" max="9223" width="11.875" style="312" customWidth="1"/>
    <col min="9224" max="9224" width="12.75" style="312" customWidth="1"/>
    <col min="9225" max="9225" width="9.25" style="312" customWidth="1"/>
    <col min="9226" max="9226" width="9.625" style="312" customWidth="1"/>
    <col min="9227" max="9227" width="7.75" style="312" customWidth="1"/>
    <col min="9228" max="9228" width="8.375" style="312" customWidth="1"/>
    <col min="9229" max="9229" width="5.875" style="312" customWidth="1"/>
    <col min="9230" max="9230" width="8.875" style="312" customWidth="1"/>
    <col min="9231" max="9231" width="9.25" style="312" customWidth="1"/>
    <col min="9232" max="9232" width="11.125" style="312" customWidth="1"/>
    <col min="9233" max="9233" width="11.875" style="312" customWidth="1"/>
    <col min="9234" max="9234" width="8.75" style="312" customWidth="1"/>
    <col min="9235" max="9235" width="10.25" style="312" customWidth="1"/>
    <col min="9236" max="9236" width="7" style="312" customWidth="1"/>
    <col min="9237" max="9237" width="8" style="312" customWidth="1"/>
    <col min="9238" max="9238" width="7.875" style="312" customWidth="1"/>
    <col min="9239" max="9239" width="11.125" style="312" customWidth="1"/>
    <col min="9240" max="9240" width="10.125" style="312" customWidth="1"/>
    <col min="9241" max="9241" width="11.875" style="312" customWidth="1"/>
    <col min="9242" max="9242" width="11.75" style="312" customWidth="1"/>
    <col min="9243" max="9243" width="9.75" style="312" customWidth="1"/>
    <col min="9244" max="9244" width="10.375" style="312" customWidth="1"/>
    <col min="9245" max="9246" width="7" style="312" customWidth="1"/>
    <col min="9247" max="9247" width="8.125" style="312" customWidth="1"/>
    <col min="9248" max="9248" width="10" style="312" customWidth="1"/>
    <col min="9249" max="9249" width="9.375" style="312" customWidth="1"/>
    <col min="9250" max="9250" width="10.375" style="312" customWidth="1"/>
    <col min="9251" max="9251" width="10.75" style="312" customWidth="1"/>
    <col min="9252" max="9252" width="9.75" style="312" customWidth="1"/>
    <col min="9253" max="9253" width="10.75" style="312" customWidth="1"/>
    <col min="9254" max="9254" width="7" style="312" customWidth="1"/>
    <col min="9255" max="9256" width="8.25" style="312" customWidth="1"/>
    <col min="9257" max="9258" width="10" style="312" customWidth="1"/>
    <col min="9259" max="9260" width="10.75" style="312" customWidth="1"/>
    <col min="9261" max="9261" width="9.75" style="312" customWidth="1"/>
    <col min="9262" max="9262" width="7" style="312" customWidth="1"/>
    <col min="9263" max="9263" width="10.25" style="312" customWidth="1"/>
    <col min="9264" max="9266" width="7" style="312" customWidth="1"/>
    <col min="9267" max="9267" width="11.75" style="312" bestFit="1" customWidth="1"/>
    <col min="9268" max="9268" width="16.25" style="312" customWidth="1"/>
    <col min="9269" max="9269" width="7.125" style="312" bestFit="1" customWidth="1"/>
    <col min="9270" max="9271" width="9.125" style="312"/>
    <col min="9272" max="9272" width="7.125" style="312" bestFit="1" customWidth="1"/>
    <col min="9273" max="9275" width="9.125" style="312"/>
    <col min="9276" max="9278" width="9.75" style="312" bestFit="1" customWidth="1"/>
    <col min="9279" max="9279" width="8.375" style="312" bestFit="1" customWidth="1"/>
    <col min="9280" max="9287" width="9.75" style="312" bestFit="1" customWidth="1"/>
    <col min="9288" max="9472" width="9.125" style="312"/>
    <col min="9473" max="9473" width="9" style="312" customWidth="1"/>
    <col min="9474" max="9474" width="7" style="312" customWidth="1"/>
    <col min="9475" max="9476" width="8" style="312" customWidth="1"/>
    <col min="9477" max="9477" width="10.125" style="312" customWidth="1"/>
    <col min="9478" max="9478" width="9.625" style="312" customWidth="1"/>
    <col min="9479" max="9479" width="11.875" style="312" customWidth="1"/>
    <col min="9480" max="9480" width="12.75" style="312" customWidth="1"/>
    <col min="9481" max="9481" width="9.25" style="312" customWidth="1"/>
    <col min="9482" max="9482" width="9.625" style="312" customWidth="1"/>
    <col min="9483" max="9483" width="7.75" style="312" customWidth="1"/>
    <col min="9484" max="9484" width="8.375" style="312" customWidth="1"/>
    <col min="9485" max="9485" width="5.875" style="312" customWidth="1"/>
    <col min="9486" max="9486" width="8.875" style="312" customWidth="1"/>
    <col min="9487" max="9487" width="9.25" style="312" customWidth="1"/>
    <col min="9488" max="9488" width="11.125" style="312" customWidth="1"/>
    <col min="9489" max="9489" width="11.875" style="312" customWidth="1"/>
    <col min="9490" max="9490" width="8.75" style="312" customWidth="1"/>
    <col min="9491" max="9491" width="10.25" style="312" customWidth="1"/>
    <col min="9492" max="9492" width="7" style="312" customWidth="1"/>
    <col min="9493" max="9493" width="8" style="312" customWidth="1"/>
    <col min="9494" max="9494" width="7.875" style="312" customWidth="1"/>
    <col min="9495" max="9495" width="11.125" style="312" customWidth="1"/>
    <col min="9496" max="9496" width="10.125" style="312" customWidth="1"/>
    <col min="9497" max="9497" width="11.875" style="312" customWidth="1"/>
    <col min="9498" max="9498" width="11.75" style="312" customWidth="1"/>
    <col min="9499" max="9499" width="9.75" style="312" customWidth="1"/>
    <col min="9500" max="9500" width="10.375" style="312" customWidth="1"/>
    <col min="9501" max="9502" width="7" style="312" customWidth="1"/>
    <col min="9503" max="9503" width="8.125" style="312" customWidth="1"/>
    <col min="9504" max="9504" width="10" style="312" customWidth="1"/>
    <col min="9505" max="9505" width="9.375" style="312" customWidth="1"/>
    <col min="9506" max="9506" width="10.375" style="312" customWidth="1"/>
    <col min="9507" max="9507" width="10.75" style="312" customWidth="1"/>
    <col min="9508" max="9508" width="9.75" style="312" customWidth="1"/>
    <col min="9509" max="9509" width="10.75" style="312" customWidth="1"/>
    <col min="9510" max="9510" width="7" style="312" customWidth="1"/>
    <col min="9511" max="9512" width="8.25" style="312" customWidth="1"/>
    <col min="9513" max="9514" width="10" style="312" customWidth="1"/>
    <col min="9515" max="9516" width="10.75" style="312" customWidth="1"/>
    <col min="9517" max="9517" width="9.75" style="312" customWidth="1"/>
    <col min="9518" max="9518" width="7" style="312" customWidth="1"/>
    <col min="9519" max="9519" width="10.25" style="312" customWidth="1"/>
    <col min="9520" max="9522" width="7" style="312" customWidth="1"/>
    <col min="9523" max="9523" width="11.75" style="312" bestFit="1" customWidth="1"/>
    <col min="9524" max="9524" width="16.25" style="312" customWidth="1"/>
    <col min="9525" max="9525" width="7.125" style="312" bestFit="1" customWidth="1"/>
    <col min="9526" max="9527" width="9.125" style="312"/>
    <col min="9528" max="9528" width="7.125" style="312" bestFit="1" customWidth="1"/>
    <col min="9529" max="9531" width="9.125" style="312"/>
    <col min="9532" max="9534" width="9.75" style="312" bestFit="1" customWidth="1"/>
    <col min="9535" max="9535" width="8.375" style="312" bestFit="1" customWidth="1"/>
    <col min="9536" max="9543" width="9.75" style="312" bestFit="1" customWidth="1"/>
    <col min="9544" max="9728" width="9.125" style="312"/>
    <col min="9729" max="9729" width="9" style="312" customWidth="1"/>
    <col min="9730" max="9730" width="7" style="312" customWidth="1"/>
    <col min="9731" max="9732" width="8" style="312" customWidth="1"/>
    <col min="9733" max="9733" width="10.125" style="312" customWidth="1"/>
    <col min="9734" max="9734" width="9.625" style="312" customWidth="1"/>
    <col min="9735" max="9735" width="11.875" style="312" customWidth="1"/>
    <col min="9736" max="9736" width="12.75" style="312" customWidth="1"/>
    <col min="9737" max="9737" width="9.25" style="312" customWidth="1"/>
    <col min="9738" max="9738" width="9.625" style="312" customWidth="1"/>
    <col min="9739" max="9739" width="7.75" style="312" customWidth="1"/>
    <col min="9740" max="9740" width="8.375" style="312" customWidth="1"/>
    <col min="9741" max="9741" width="5.875" style="312" customWidth="1"/>
    <col min="9742" max="9742" width="8.875" style="312" customWidth="1"/>
    <col min="9743" max="9743" width="9.25" style="312" customWidth="1"/>
    <col min="9744" max="9744" width="11.125" style="312" customWidth="1"/>
    <col min="9745" max="9745" width="11.875" style="312" customWidth="1"/>
    <col min="9746" max="9746" width="8.75" style="312" customWidth="1"/>
    <col min="9747" max="9747" width="10.25" style="312" customWidth="1"/>
    <col min="9748" max="9748" width="7" style="312" customWidth="1"/>
    <col min="9749" max="9749" width="8" style="312" customWidth="1"/>
    <col min="9750" max="9750" width="7.875" style="312" customWidth="1"/>
    <col min="9751" max="9751" width="11.125" style="312" customWidth="1"/>
    <col min="9752" max="9752" width="10.125" style="312" customWidth="1"/>
    <col min="9753" max="9753" width="11.875" style="312" customWidth="1"/>
    <col min="9754" max="9754" width="11.75" style="312" customWidth="1"/>
    <col min="9755" max="9755" width="9.75" style="312" customWidth="1"/>
    <col min="9756" max="9756" width="10.375" style="312" customWidth="1"/>
    <col min="9757" max="9758" width="7" style="312" customWidth="1"/>
    <col min="9759" max="9759" width="8.125" style="312" customWidth="1"/>
    <col min="9760" max="9760" width="10" style="312" customWidth="1"/>
    <col min="9761" max="9761" width="9.375" style="312" customWidth="1"/>
    <col min="9762" max="9762" width="10.375" style="312" customWidth="1"/>
    <col min="9763" max="9763" width="10.75" style="312" customWidth="1"/>
    <col min="9764" max="9764" width="9.75" style="312" customWidth="1"/>
    <col min="9765" max="9765" width="10.75" style="312" customWidth="1"/>
    <col min="9766" max="9766" width="7" style="312" customWidth="1"/>
    <col min="9767" max="9768" width="8.25" style="312" customWidth="1"/>
    <col min="9769" max="9770" width="10" style="312" customWidth="1"/>
    <col min="9771" max="9772" width="10.75" style="312" customWidth="1"/>
    <col min="9773" max="9773" width="9.75" style="312" customWidth="1"/>
    <col min="9774" max="9774" width="7" style="312" customWidth="1"/>
    <col min="9775" max="9775" width="10.25" style="312" customWidth="1"/>
    <col min="9776" max="9778" width="7" style="312" customWidth="1"/>
    <col min="9779" max="9779" width="11.75" style="312" bestFit="1" customWidth="1"/>
    <col min="9780" max="9780" width="16.25" style="312" customWidth="1"/>
    <col min="9781" max="9781" width="7.125" style="312" bestFit="1" customWidth="1"/>
    <col min="9782" max="9783" width="9.125" style="312"/>
    <col min="9784" max="9784" width="7.125" style="312" bestFit="1" customWidth="1"/>
    <col min="9785" max="9787" width="9.125" style="312"/>
    <col min="9788" max="9790" width="9.75" style="312" bestFit="1" customWidth="1"/>
    <col min="9791" max="9791" width="8.375" style="312" bestFit="1" customWidth="1"/>
    <col min="9792" max="9799" width="9.75" style="312" bestFit="1" customWidth="1"/>
    <col min="9800" max="9984" width="9.125" style="312"/>
    <col min="9985" max="9985" width="9" style="312" customWidth="1"/>
    <col min="9986" max="9986" width="7" style="312" customWidth="1"/>
    <col min="9987" max="9988" width="8" style="312" customWidth="1"/>
    <col min="9989" max="9989" width="10.125" style="312" customWidth="1"/>
    <col min="9990" max="9990" width="9.625" style="312" customWidth="1"/>
    <col min="9991" max="9991" width="11.875" style="312" customWidth="1"/>
    <col min="9992" max="9992" width="12.75" style="312" customWidth="1"/>
    <col min="9993" max="9993" width="9.25" style="312" customWidth="1"/>
    <col min="9994" max="9994" width="9.625" style="312" customWidth="1"/>
    <col min="9995" max="9995" width="7.75" style="312" customWidth="1"/>
    <col min="9996" max="9996" width="8.375" style="312" customWidth="1"/>
    <col min="9997" max="9997" width="5.875" style="312" customWidth="1"/>
    <col min="9998" max="9998" width="8.875" style="312" customWidth="1"/>
    <col min="9999" max="9999" width="9.25" style="312" customWidth="1"/>
    <col min="10000" max="10000" width="11.125" style="312" customWidth="1"/>
    <col min="10001" max="10001" width="11.875" style="312" customWidth="1"/>
    <col min="10002" max="10002" width="8.75" style="312" customWidth="1"/>
    <col min="10003" max="10003" width="10.25" style="312" customWidth="1"/>
    <col min="10004" max="10004" width="7" style="312" customWidth="1"/>
    <col min="10005" max="10005" width="8" style="312" customWidth="1"/>
    <col min="10006" max="10006" width="7.875" style="312" customWidth="1"/>
    <col min="10007" max="10007" width="11.125" style="312" customWidth="1"/>
    <col min="10008" max="10008" width="10.125" style="312" customWidth="1"/>
    <col min="10009" max="10009" width="11.875" style="312" customWidth="1"/>
    <col min="10010" max="10010" width="11.75" style="312" customWidth="1"/>
    <col min="10011" max="10011" width="9.75" style="312" customWidth="1"/>
    <col min="10012" max="10012" width="10.375" style="312" customWidth="1"/>
    <col min="10013" max="10014" width="7" style="312" customWidth="1"/>
    <col min="10015" max="10015" width="8.125" style="312" customWidth="1"/>
    <col min="10016" max="10016" width="10" style="312" customWidth="1"/>
    <col min="10017" max="10017" width="9.375" style="312" customWidth="1"/>
    <col min="10018" max="10018" width="10.375" style="312" customWidth="1"/>
    <col min="10019" max="10019" width="10.75" style="312" customWidth="1"/>
    <col min="10020" max="10020" width="9.75" style="312" customWidth="1"/>
    <col min="10021" max="10021" width="10.75" style="312" customWidth="1"/>
    <col min="10022" max="10022" width="7" style="312" customWidth="1"/>
    <col min="10023" max="10024" width="8.25" style="312" customWidth="1"/>
    <col min="10025" max="10026" width="10" style="312" customWidth="1"/>
    <col min="10027" max="10028" width="10.75" style="312" customWidth="1"/>
    <col min="10029" max="10029" width="9.75" style="312" customWidth="1"/>
    <col min="10030" max="10030" width="7" style="312" customWidth="1"/>
    <col min="10031" max="10031" width="10.25" style="312" customWidth="1"/>
    <col min="10032" max="10034" width="7" style="312" customWidth="1"/>
    <col min="10035" max="10035" width="11.75" style="312" bestFit="1" customWidth="1"/>
    <col min="10036" max="10036" width="16.25" style="312" customWidth="1"/>
    <col min="10037" max="10037" width="7.125" style="312" bestFit="1" customWidth="1"/>
    <col min="10038" max="10039" width="9.125" style="312"/>
    <col min="10040" max="10040" width="7.125" style="312" bestFit="1" customWidth="1"/>
    <col min="10041" max="10043" width="9.125" style="312"/>
    <col min="10044" max="10046" width="9.75" style="312" bestFit="1" customWidth="1"/>
    <col min="10047" max="10047" width="8.375" style="312" bestFit="1" customWidth="1"/>
    <col min="10048" max="10055" width="9.75" style="312" bestFit="1" customWidth="1"/>
    <col min="10056" max="10240" width="9.125" style="312"/>
    <col min="10241" max="10241" width="9" style="312" customWidth="1"/>
    <col min="10242" max="10242" width="7" style="312" customWidth="1"/>
    <col min="10243" max="10244" width="8" style="312" customWidth="1"/>
    <col min="10245" max="10245" width="10.125" style="312" customWidth="1"/>
    <col min="10246" max="10246" width="9.625" style="312" customWidth="1"/>
    <col min="10247" max="10247" width="11.875" style="312" customWidth="1"/>
    <col min="10248" max="10248" width="12.75" style="312" customWidth="1"/>
    <col min="10249" max="10249" width="9.25" style="312" customWidth="1"/>
    <col min="10250" max="10250" width="9.625" style="312" customWidth="1"/>
    <col min="10251" max="10251" width="7.75" style="312" customWidth="1"/>
    <col min="10252" max="10252" width="8.375" style="312" customWidth="1"/>
    <col min="10253" max="10253" width="5.875" style="312" customWidth="1"/>
    <col min="10254" max="10254" width="8.875" style="312" customWidth="1"/>
    <col min="10255" max="10255" width="9.25" style="312" customWidth="1"/>
    <col min="10256" max="10256" width="11.125" style="312" customWidth="1"/>
    <col min="10257" max="10257" width="11.875" style="312" customWidth="1"/>
    <col min="10258" max="10258" width="8.75" style="312" customWidth="1"/>
    <col min="10259" max="10259" width="10.25" style="312" customWidth="1"/>
    <col min="10260" max="10260" width="7" style="312" customWidth="1"/>
    <col min="10261" max="10261" width="8" style="312" customWidth="1"/>
    <col min="10262" max="10262" width="7.875" style="312" customWidth="1"/>
    <col min="10263" max="10263" width="11.125" style="312" customWidth="1"/>
    <col min="10264" max="10264" width="10.125" style="312" customWidth="1"/>
    <col min="10265" max="10265" width="11.875" style="312" customWidth="1"/>
    <col min="10266" max="10266" width="11.75" style="312" customWidth="1"/>
    <col min="10267" max="10267" width="9.75" style="312" customWidth="1"/>
    <col min="10268" max="10268" width="10.375" style="312" customWidth="1"/>
    <col min="10269" max="10270" width="7" style="312" customWidth="1"/>
    <col min="10271" max="10271" width="8.125" style="312" customWidth="1"/>
    <col min="10272" max="10272" width="10" style="312" customWidth="1"/>
    <col min="10273" max="10273" width="9.375" style="312" customWidth="1"/>
    <col min="10274" max="10274" width="10.375" style="312" customWidth="1"/>
    <col min="10275" max="10275" width="10.75" style="312" customWidth="1"/>
    <col min="10276" max="10276" width="9.75" style="312" customWidth="1"/>
    <col min="10277" max="10277" width="10.75" style="312" customWidth="1"/>
    <col min="10278" max="10278" width="7" style="312" customWidth="1"/>
    <col min="10279" max="10280" width="8.25" style="312" customWidth="1"/>
    <col min="10281" max="10282" width="10" style="312" customWidth="1"/>
    <col min="10283" max="10284" width="10.75" style="312" customWidth="1"/>
    <col min="10285" max="10285" width="9.75" style="312" customWidth="1"/>
    <col min="10286" max="10286" width="7" style="312" customWidth="1"/>
    <col min="10287" max="10287" width="10.25" style="312" customWidth="1"/>
    <col min="10288" max="10290" width="7" style="312" customWidth="1"/>
    <col min="10291" max="10291" width="11.75" style="312" bestFit="1" customWidth="1"/>
    <col min="10292" max="10292" width="16.25" style="312" customWidth="1"/>
    <col min="10293" max="10293" width="7.125" style="312" bestFit="1" customWidth="1"/>
    <col min="10294" max="10295" width="9.125" style="312"/>
    <col min="10296" max="10296" width="7.125" style="312" bestFit="1" customWidth="1"/>
    <col min="10297" max="10299" width="9.125" style="312"/>
    <col min="10300" max="10302" width="9.75" style="312" bestFit="1" customWidth="1"/>
    <col min="10303" max="10303" width="8.375" style="312" bestFit="1" customWidth="1"/>
    <col min="10304" max="10311" width="9.75" style="312" bestFit="1" customWidth="1"/>
    <col min="10312" max="10496" width="9.125" style="312"/>
    <col min="10497" max="10497" width="9" style="312" customWidth="1"/>
    <col min="10498" max="10498" width="7" style="312" customWidth="1"/>
    <col min="10499" max="10500" width="8" style="312" customWidth="1"/>
    <col min="10501" max="10501" width="10.125" style="312" customWidth="1"/>
    <col min="10502" max="10502" width="9.625" style="312" customWidth="1"/>
    <col min="10503" max="10503" width="11.875" style="312" customWidth="1"/>
    <col min="10504" max="10504" width="12.75" style="312" customWidth="1"/>
    <col min="10505" max="10505" width="9.25" style="312" customWidth="1"/>
    <col min="10506" max="10506" width="9.625" style="312" customWidth="1"/>
    <col min="10507" max="10507" width="7.75" style="312" customWidth="1"/>
    <col min="10508" max="10508" width="8.375" style="312" customWidth="1"/>
    <col min="10509" max="10509" width="5.875" style="312" customWidth="1"/>
    <col min="10510" max="10510" width="8.875" style="312" customWidth="1"/>
    <col min="10511" max="10511" width="9.25" style="312" customWidth="1"/>
    <col min="10512" max="10512" width="11.125" style="312" customWidth="1"/>
    <col min="10513" max="10513" width="11.875" style="312" customWidth="1"/>
    <col min="10514" max="10514" width="8.75" style="312" customWidth="1"/>
    <col min="10515" max="10515" width="10.25" style="312" customWidth="1"/>
    <col min="10516" max="10516" width="7" style="312" customWidth="1"/>
    <col min="10517" max="10517" width="8" style="312" customWidth="1"/>
    <col min="10518" max="10518" width="7.875" style="312" customWidth="1"/>
    <col min="10519" max="10519" width="11.125" style="312" customWidth="1"/>
    <col min="10520" max="10520" width="10.125" style="312" customWidth="1"/>
    <col min="10521" max="10521" width="11.875" style="312" customWidth="1"/>
    <col min="10522" max="10522" width="11.75" style="312" customWidth="1"/>
    <col min="10523" max="10523" width="9.75" style="312" customWidth="1"/>
    <col min="10524" max="10524" width="10.375" style="312" customWidth="1"/>
    <col min="10525" max="10526" width="7" style="312" customWidth="1"/>
    <col min="10527" max="10527" width="8.125" style="312" customWidth="1"/>
    <col min="10528" max="10528" width="10" style="312" customWidth="1"/>
    <col min="10529" max="10529" width="9.375" style="312" customWidth="1"/>
    <col min="10530" max="10530" width="10.375" style="312" customWidth="1"/>
    <col min="10531" max="10531" width="10.75" style="312" customWidth="1"/>
    <col min="10532" max="10532" width="9.75" style="312" customWidth="1"/>
    <col min="10533" max="10533" width="10.75" style="312" customWidth="1"/>
    <col min="10534" max="10534" width="7" style="312" customWidth="1"/>
    <col min="10535" max="10536" width="8.25" style="312" customWidth="1"/>
    <col min="10537" max="10538" width="10" style="312" customWidth="1"/>
    <col min="10539" max="10540" width="10.75" style="312" customWidth="1"/>
    <col min="10541" max="10541" width="9.75" style="312" customWidth="1"/>
    <col min="10542" max="10542" width="7" style="312" customWidth="1"/>
    <col min="10543" max="10543" width="10.25" style="312" customWidth="1"/>
    <col min="10544" max="10546" width="7" style="312" customWidth="1"/>
    <col min="10547" max="10547" width="11.75" style="312" bestFit="1" customWidth="1"/>
    <col min="10548" max="10548" width="16.25" style="312" customWidth="1"/>
    <col min="10549" max="10549" width="7.125" style="312" bestFit="1" customWidth="1"/>
    <col min="10550" max="10551" width="9.125" style="312"/>
    <col min="10552" max="10552" width="7.125" style="312" bestFit="1" customWidth="1"/>
    <col min="10553" max="10555" width="9.125" style="312"/>
    <col min="10556" max="10558" width="9.75" style="312" bestFit="1" customWidth="1"/>
    <col min="10559" max="10559" width="8.375" style="312" bestFit="1" customWidth="1"/>
    <col min="10560" max="10567" width="9.75" style="312" bestFit="1" customWidth="1"/>
    <col min="10568" max="10752" width="9.125" style="312"/>
    <col min="10753" max="10753" width="9" style="312" customWidth="1"/>
    <col min="10754" max="10754" width="7" style="312" customWidth="1"/>
    <col min="10755" max="10756" width="8" style="312" customWidth="1"/>
    <col min="10757" max="10757" width="10.125" style="312" customWidth="1"/>
    <col min="10758" max="10758" width="9.625" style="312" customWidth="1"/>
    <col min="10759" max="10759" width="11.875" style="312" customWidth="1"/>
    <col min="10760" max="10760" width="12.75" style="312" customWidth="1"/>
    <col min="10761" max="10761" width="9.25" style="312" customWidth="1"/>
    <col min="10762" max="10762" width="9.625" style="312" customWidth="1"/>
    <col min="10763" max="10763" width="7.75" style="312" customWidth="1"/>
    <col min="10764" max="10764" width="8.375" style="312" customWidth="1"/>
    <col min="10765" max="10765" width="5.875" style="312" customWidth="1"/>
    <col min="10766" max="10766" width="8.875" style="312" customWidth="1"/>
    <col min="10767" max="10767" width="9.25" style="312" customWidth="1"/>
    <col min="10768" max="10768" width="11.125" style="312" customWidth="1"/>
    <col min="10769" max="10769" width="11.875" style="312" customWidth="1"/>
    <col min="10770" max="10770" width="8.75" style="312" customWidth="1"/>
    <col min="10771" max="10771" width="10.25" style="312" customWidth="1"/>
    <col min="10772" max="10772" width="7" style="312" customWidth="1"/>
    <col min="10773" max="10773" width="8" style="312" customWidth="1"/>
    <col min="10774" max="10774" width="7.875" style="312" customWidth="1"/>
    <col min="10775" max="10775" width="11.125" style="312" customWidth="1"/>
    <col min="10776" max="10776" width="10.125" style="312" customWidth="1"/>
    <col min="10777" max="10777" width="11.875" style="312" customWidth="1"/>
    <col min="10778" max="10778" width="11.75" style="312" customWidth="1"/>
    <col min="10779" max="10779" width="9.75" style="312" customWidth="1"/>
    <col min="10780" max="10780" width="10.375" style="312" customWidth="1"/>
    <col min="10781" max="10782" width="7" style="312" customWidth="1"/>
    <col min="10783" max="10783" width="8.125" style="312" customWidth="1"/>
    <col min="10784" max="10784" width="10" style="312" customWidth="1"/>
    <col min="10785" max="10785" width="9.375" style="312" customWidth="1"/>
    <col min="10786" max="10786" width="10.375" style="312" customWidth="1"/>
    <col min="10787" max="10787" width="10.75" style="312" customWidth="1"/>
    <col min="10788" max="10788" width="9.75" style="312" customWidth="1"/>
    <col min="10789" max="10789" width="10.75" style="312" customWidth="1"/>
    <col min="10790" max="10790" width="7" style="312" customWidth="1"/>
    <col min="10791" max="10792" width="8.25" style="312" customWidth="1"/>
    <col min="10793" max="10794" width="10" style="312" customWidth="1"/>
    <col min="10795" max="10796" width="10.75" style="312" customWidth="1"/>
    <col min="10797" max="10797" width="9.75" style="312" customWidth="1"/>
    <col min="10798" max="10798" width="7" style="312" customWidth="1"/>
    <col min="10799" max="10799" width="10.25" style="312" customWidth="1"/>
    <col min="10800" max="10802" width="7" style="312" customWidth="1"/>
    <col min="10803" max="10803" width="11.75" style="312" bestFit="1" customWidth="1"/>
    <col min="10804" max="10804" width="16.25" style="312" customWidth="1"/>
    <col min="10805" max="10805" width="7.125" style="312" bestFit="1" customWidth="1"/>
    <col min="10806" max="10807" width="9.125" style="312"/>
    <col min="10808" max="10808" width="7.125" style="312" bestFit="1" customWidth="1"/>
    <col min="10809" max="10811" width="9.125" style="312"/>
    <col min="10812" max="10814" width="9.75" style="312" bestFit="1" customWidth="1"/>
    <col min="10815" max="10815" width="8.375" style="312" bestFit="1" customWidth="1"/>
    <col min="10816" max="10823" width="9.75" style="312" bestFit="1" customWidth="1"/>
    <col min="10824" max="11008" width="9.125" style="312"/>
    <col min="11009" max="11009" width="9" style="312" customWidth="1"/>
    <col min="11010" max="11010" width="7" style="312" customWidth="1"/>
    <col min="11011" max="11012" width="8" style="312" customWidth="1"/>
    <col min="11013" max="11013" width="10.125" style="312" customWidth="1"/>
    <col min="11014" max="11014" width="9.625" style="312" customWidth="1"/>
    <col min="11015" max="11015" width="11.875" style="312" customWidth="1"/>
    <col min="11016" max="11016" width="12.75" style="312" customWidth="1"/>
    <col min="11017" max="11017" width="9.25" style="312" customWidth="1"/>
    <col min="11018" max="11018" width="9.625" style="312" customWidth="1"/>
    <col min="11019" max="11019" width="7.75" style="312" customWidth="1"/>
    <col min="11020" max="11020" width="8.375" style="312" customWidth="1"/>
    <col min="11021" max="11021" width="5.875" style="312" customWidth="1"/>
    <col min="11022" max="11022" width="8.875" style="312" customWidth="1"/>
    <col min="11023" max="11023" width="9.25" style="312" customWidth="1"/>
    <col min="11024" max="11024" width="11.125" style="312" customWidth="1"/>
    <col min="11025" max="11025" width="11.875" style="312" customWidth="1"/>
    <col min="11026" max="11026" width="8.75" style="312" customWidth="1"/>
    <col min="11027" max="11027" width="10.25" style="312" customWidth="1"/>
    <col min="11028" max="11028" width="7" style="312" customWidth="1"/>
    <col min="11029" max="11029" width="8" style="312" customWidth="1"/>
    <col min="11030" max="11030" width="7.875" style="312" customWidth="1"/>
    <col min="11031" max="11031" width="11.125" style="312" customWidth="1"/>
    <col min="11032" max="11032" width="10.125" style="312" customWidth="1"/>
    <col min="11033" max="11033" width="11.875" style="312" customWidth="1"/>
    <col min="11034" max="11034" width="11.75" style="312" customWidth="1"/>
    <col min="11035" max="11035" width="9.75" style="312" customWidth="1"/>
    <col min="11036" max="11036" width="10.375" style="312" customWidth="1"/>
    <col min="11037" max="11038" width="7" style="312" customWidth="1"/>
    <col min="11039" max="11039" width="8.125" style="312" customWidth="1"/>
    <col min="11040" max="11040" width="10" style="312" customWidth="1"/>
    <col min="11041" max="11041" width="9.375" style="312" customWidth="1"/>
    <col min="11042" max="11042" width="10.375" style="312" customWidth="1"/>
    <col min="11043" max="11043" width="10.75" style="312" customWidth="1"/>
    <col min="11044" max="11044" width="9.75" style="312" customWidth="1"/>
    <col min="11045" max="11045" width="10.75" style="312" customWidth="1"/>
    <col min="11046" max="11046" width="7" style="312" customWidth="1"/>
    <col min="11047" max="11048" width="8.25" style="312" customWidth="1"/>
    <col min="11049" max="11050" width="10" style="312" customWidth="1"/>
    <col min="11051" max="11052" width="10.75" style="312" customWidth="1"/>
    <col min="11053" max="11053" width="9.75" style="312" customWidth="1"/>
    <col min="11054" max="11054" width="7" style="312" customWidth="1"/>
    <col min="11055" max="11055" width="10.25" style="312" customWidth="1"/>
    <col min="11056" max="11058" width="7" style="312" customWidth="1"/>
    <col min="11059" max="11059" width="11.75" style="312" bestFit="1" customWidth="1"/>
    <col min="11060" max="11060" width="16.25" style="312" customWidth="1"/>
    <col min="11061" max="11061" width="7.125" style="312" bestFit="1" customWidth="1"/>
    <col min="11062" max="11063" width="9.125" style="312"/>
    <col min="11064" max="11064" width="7.125" style="312" bestFit="1" customWidth="1"/>
    <col min="11065" max="11067" width="9.125" style="312"/>
    <col min="11068" max="11070" width="9.75" style="312" bestFit="1" customWidth="1"/>
    <col min="11071" max="11071" width="8.375" style="312" bestFit="1" customWidth="1"/>
    <col min="11072" max="11079" width="9.75" style="312" bestFit="1" customWidth="1"/>
    <col min="11080" max="11264" width="9.125" style="312"/>
    <col min="11265" max="11265" width="9" style="312" customWidth="1"/>
    <col min="11266" max="11266" width="7" style="312" customWidth="1"/>
    <col min="11267" max="11268" width="8" style="312" customWidth="1"/>
    <col min="11269" max="11269" width="10.125" style="312" customWidth="1"/>
    <col min="11270" max="11270" width="9.625" style="312" customWidth="1"/>
    <col min="11271" max="11271" width="11.875" style="312" customWidth="1"/>
    <col min="11272" max="11272" width="12.75" style="312" customWidth="1"/>
    <col min="11273" max="11273" width="9.25" style="312" customWidth="1"/>
    <col min="11274" max="11274" width="9.625" style="312" customWidth="1"/>
    <col min="11275" max="11275" width="7.75" style="312" customWidth="1"/>
    <col min="11276" max="11276" width="8.375" style="312" customWidth="1"/>
    <col min="11277" max="11277" width="5.875" style="312" customWidth="1"/>
    <col min="11278" max="11278" width="8.875" style="312" customWidth="1"/>
    <col min="11279" max="11279" width="9.25" style="312" customWidth="1"/>
    <col min="11280" max="11280" width="11.125" style="312" customWidth="1"/>
    <col min="11281" max="11281" width="11.875" style="312" customWidth="1"/>
    <col min="11282" max="11282" width="8.75" style="312" customWidth="1"/>
    <col min="11283" max="11283" width="10.25" style="312" customWidth="1"/>
    <col min="11284" max="11284" width="7" style="312" customWidth="1"/>
    <col min="11285" max="11285" width="8" style="312" customWidth="1"/>
    <col min="11286" max="11286" width="7.875" style="312" customWidth="1"/>
    <col min="11287" max="11287" width="11.125" style="312" customWidth="1"/>
    <col min="11288" max="11288" width="10.125" style="312" customWidth="1"/>
    <col min="11289" max="11289" width="11.875" style="312" customWidth="1"/>
    <col min="11290" max="11290" width="11.75" style="312" customWidth="1"/>
    <col min="11291" max="11291" width="9.75" style="312" customWidth="1"/>
    <col min="11292" max="11292" width="10.375" style="312" customWidth="1"/>
    <col min="11293" max="11294" width="7" style="312" customWidth="1"/>
    <col min="11295" max="11295" width="8.125" style="312" customWidth="1"/>
    <col min="11296" max="11296" width="10" style="312" customWidth="1"/>
    <col min="11297" max="11297" width="9.375" style="312" customWidth="1"/>
    <col min="11298" max="11298" width="10.375" style="312" customWidth="1"/>
    <col min="11299" max="11299" width="10.75" style="312" customWidth="1"/>
    <col min="11300" max="11300" width="9.75" style="312" customWidth="1"/>
    <col min="11301" max="11301" width="10.75" style="312" customWidth="1"/>
    <col min="11302" max="11302" width="7" style="312" customWidth="1"/>
    <col min="11303" max="11304" width="8.25" style="312" customWidth="1"/>
    <col min="11305" max="11306" width="10" style="312" customWidth="1"/>
    <col min="11307" max="11308" width="10.75" style="312" customWidth="1"/>
    <col min="11309" max="11309" width="9.75" style="312" customWidth="1"/>
    <col min="11310" max="11310" width="7" style="312" customWidth="1"/>
    <col min="11311" max="11311" width="10.25" style="312" customWidth="1"/>
    <col min="11312" max="11314" width="7" style="312" customWidth="1"/>
    <col min="11315" max="11315" width="11.75" style="312" bestFit="1" customWidth="1"/>
    <col min="11316" max="11316" width="16.25" style="312" customWidth="1"/>
    <col min="11317" max="11317" width="7.125" style="312" bestFit="1" customWidth="1"/>
    <col min="11318" max="11319" width="9.125" style="312"/>
    <col min="11320" max="11320" width="7.125" style="312" bestFit="1" customWidth="1"/>
    <col min="11321" max="11323" width="9.125" style="312"/>
    <col min="11324" max="11326" width="9.75" style="312" bestFit="1" customWidth="1"/>
    <col min="11327" max="11327" width="8.375" style="312" bestFit="1" customWidth="1"/>
    <col min="11328" max="11335" width="9.75" style="312" bestFit="1" customWidth="1"/>
    <col min="11336" max="11520" width="9.125" style="312"/>
    <col min="11521" max="11521" width="9" style="312" customWidth="1"/>
    <col min="11522" max="11522" width="7" style="312" customWidth="1"/>
    <col min="11523" max="11524" width="8" style="312" customWidth="1"/>
    <col min="11525" max="11525" width="10.125" style="312" customWidth="1"/>
    <col min="11526" max="11526" width="9.625" style="312" customWidth="1"/>
    <col min="11527" max="11527" width="11.875" style="312" customWidth="1"/>
    <col min="11528" max="11528" width="12.75" style="312" customWidth="1"/>
    <col min="11529" max="11529" width="9.25" style="312" customWidth="1"/>
    <col min="11530" max="11530" width="9.625" style="312" customWidth="1"/>
    <col min="11531" max="11531" width="7.75" style="312" customWidth="1"/>
    <col min="11532" max="11532" width="8.375" style="312" customWidth="1"/>
    <col min="11533" max="11533" width="5.875" style="312" customWidth="1"/>
    <col min="11534" max="11534" width="8.875" style="312" customWidth="1"/>
    <col min="11535" max="11535" width="9.25" style="312" customWidth="1"/>
    <col min="11536" max="11536" width="11.125" style="312" customWidth="1"/>
    <col min="11537" max="11537" width="11.875" style="312" customWidth="1"/>
    <col min="11538" max="11538" width="8.75" style="312" customWidth="1"/>
    <col min="11539" max="11539" width="10.25" style="312" customWidth="1"/>
    <col min="11540" max="11540" width="7" style="312" customWidth="1"/>
    <col min="11541" max="11541" width="8" style="312" customWidth="1"/>
    <col min="11542" max="11542" width="7.875" style="312" customWidth="1"/>
    <col min="11543" max="11543" width="11.125" style="312" customWidth="1"/>
    <col min="11544" max="11544" width="10.125" style="312" customWidth="1"/>
    <col min="11545" max="11545" width="11.875" style="312" customWidth="1"/>
    <col min="11546" max="11546" width="11.75" style="312" customWidth="1"/>
    <col min="11547" max="11547" width="9.75" style="312" customWidth="1"/>
    <col min="11548" max="11548" width="10.375" style="312" customWidth="1"/>
    <col min="11549" max="11550" width="7" style="312" customWidth="1"/>
    <col min="11551" max="11551" width="8.125" style="312" customWidth="1"/>
    <col min="11552" max="11552" width="10" style="312" customWidth="1"/>
    <col min="11553" max="11553" width="9.375" style="312" customWidth="1"/>
    <col min="11554" max="11554" width="10.375" style="312" customWidth="1"/>
    <col min="11555" max="11555" width="10.75" style="312" customWidth="1"/>
    <col min="11556" max="11556" width="9.75" style="312" customWidth="1"/>
    <col min="11557" max="11557" width="10.75" style="312" customWidth="1"/>
    <col min="11558" max="11558" width="7" style="312" customWidth="1"/>
    <col min="11559" max="11560" width="8.25" style="312" customWidth="1"/>
    <col min="11561" max="11562" width="10" style="312" customWidth="1"/>
    <col min="11563" max="11564" width="10.75" style="312" customWidth="1"/>
    <col min="11565" max="11565" width="9.75" style="312" customWidth="1"/>
    <col min="11566" max="11566" width="7" style="312" customWidth="1"/>
    <col min="11567" max="11567" width="10.25" style="312" customWidth="1"/>
    <col min="11568" max="11570" width="7" style="312" customWidth="1"/>
    <col min="11571" max="11571" width="11.75" style="312" bestFit="1" customWidth="1"/>
    <col min="11572" max="11572" width="16.25" style="312" customWidth="1"/>
    <col min="11573" max="11573" width="7.125" style="312" bestFit="1" customWidth="1"/>
    <col min="11574" max="11575" width="9.125" style="312"/>
    <col min="11576" max="11576" width="7.125" style="312" bestFit="1" customWidth="1"/>
    <col min="11577" max="11579" width="9.125" style="312"/>
    <col min="11580" max="11582" width="9.75" style="312" bestFit="1" customWidth="1"/>
    <col min="11583" max="11583" width="8.375" style="312" bestFit="1" customWidth="1"/>
    <col min="11584" max="11591" width="9.75" style="312" bestFit="1" customWidth="1"/>
    <col min="11592" max="11776" width="9.125" style="312"/>
    <col min="11777" max="11777" width="9" style="312" customWidth="1"/>
    <col min="11778" max="11778" width="7" style="312" customWidth="1"/>
    <col min="11779" max="11780" width="8" style="312" customWidth="1"/>
    <col min="11781" max="11781" width="10.125" style="312" customWidth="1"/>
    <col min="11782" max="11782" width="9.625" style="312" customWidth="1"/>
    <col min="11783" max="11783" width="11.875" style="312" customWidth="1"/>
    <col min="11784" max="11784" width="12.75" style="312" customWidth="1"/>
    <col min="11785" max="11785" width="9.25" style="312" customWidth="1"/>
    <col min="11786" max="11786" width="9.625" style="312" customWidth="1"/>
    <col min="11787" max="11787" width="7.75" style="312" customWidth="1"/>
    <col min="11788" max="11788" width="8.375" style="312" customWidth="1"/>
    <col min="11789" max="11789" width="5.875" style="312" customWidth="1"/>
    <col min="11790" max="11790" width="8.875" style="312" customWidth="1"/>
    <col min="11791" max="11791" width="9.25" style="312" customWidth="1"/>
    <col min="11792" max="11792" width="11.125" style="312" customWidth="1"/>
    <col min="11793" max="11793" width="11.875" style="312" customWidth="1"/>
    <col min="11794" max="11794" width="8.75" style="312" customWidth="1"/>
    <col min="11795" max="11795" width="10.25" style="312" customWidth="1"/>
    <col min="11796" max="11796" width="7" style="312" customWidth="1"/>
    <col min="11797" max="11797" width="8" style="312" customWidth="1"/>
    <col min="11798" max="11798" width="7.875" style="312" customWidth="1"/>
    <col min="11799" max="11799" width="11.125" style="312" customWidth="1"/>
    <col min="11800" max="11800" width="10.125" style="312" customWidth="1"/>
    <col min="11801" max="11801" width="11.875" style="312" customWidth="1"/>
    <col min="11802" max="11802" width="11.75" style="312" customWidth="1"/>
    <col min="11803" max="11803" width="9.75" style="312" customWidth="1"/>
    <col min="11804" max="11804" width="10.375" style="312" customWidth="1"/>
    <col min="11805" max="11806" width="7" style="312" customWidth="1"/>
    <col min="11807" max="11807" width="8.125" style="312" customWidth="1"/>
    <col min="11808" max="11808" width="10" style="312" customWidth="1"/>
    <col min="11809" max="11809" width="9.375" style="312" customWidth="1"/>
    <col min="11810" max="11810" width="10.375" style="312" customWidth="1"/>
    <col min="11811" max="11811" width="10.75" style="312" customWidth="1"/>
    <col min="11812" max="11812" width="9.75" style="312" customWidth="1"/>
    <col min="11813" max="11813" width="10.75" style="312" customWidth="1"/>
    <col min="11814" max="11814" width="7" style="312" customWidth="1"/>
    <col min="11815" max="11816" width="8.25" style="312" customWidth="1"/>
    <col min="11817" max="11818" width="10" style="312" customWidth="1"/>
    <col min="11819" max="11820" width="10.75" style="312" customWidth="1"/>
    <col min="11821" max="11821" width="9.75" style="312" customWidth="1"/>
    <col min="11822" max="11822" width="7" style="312" customWidth="1"/>
    <col min="11823" max="11823" width="10.25" style="312" customWidth="1"/>
    <col min="11824" max="11826" width="7" style="312" customWidth="1"/>
    <col min="11827" max="11827" width="11.75" style="312" bestFit="1" customWidth="1"/>
    <col min="11828" max="11828" width="16.25" style="312" customWidth="1"/>
    <col min="11829" max="11829" width="7.125" style="312" bestFit="1" customWidth="1"/>
    <col min="11830" max="11831" width="9.125" style="312"/>
    <col min="11832" max="11832" width="7.125" style="312" bestFit="1" customWidth="1"/>
    <col min="11833" max="11835" width="9.125" style="312"/>
    <col min="11836" max="11838" width="9.75" style="312" bestFit="1" customWidth="1"/>
    <col min="11839" max="11839" width="8.375" style="312" bestFit="1" customWidth="1"/>
    <col min="11840" max="11847" width="9.75" style="312" bestFit="1" customWidth="1"/>
    <col min="11848" max="12032" width="9.125" style="312"/>
    <col min="12033" max="12033" width="9" style="312" customWidth="1"/>
    <col min="12034" max="12034" width="7" style="312" customWidth="1"/>
    <col min="12035" max="12036" width="8" style="312" customWidth="1"/>
    <col min="12037" max="12037" width="10.125" style="312" customWidth="1"/>
    <col min="12038" max="12038" width="9.625" style="312" customWidth="1"/>
    <col min="12039" max="12039" width="11.875" style="312" customWidth="1"/>
    <col min="12040" max="12040" width="12.75" style="312" customWidth="1"/>
    <col min="12041" max="12041" width="9.25" style="312" customWidth="1"/>
    <col min="12042" max="12042" width="9.625" style="312" customWidth="1"/>
    <col min="12043" max="12043" width="7.75" style="312" customWidth="1"/>
    <col min="12044" max="12044" width="8.375" style="312" customWidth="1"/>
    <col min="12045" max="12045" width="5.875" style="312" customWidth="1"/>
    <col min="12046" max="12046" width="8.875" style="312" customWidth="1"/>
    <col min="12047" max="12047" width="9.25" style="312" customWidth="1"/>
    <col min="12048" max="12048" width="11.125" style="312" customWidth="1"/>
    <col min="12049" max="12049" width="11.875" style="312" customWidth="1"/>
    <col min="12050" max="12050" width="8.75" style="312" customWidth="1"/>
    <col min="12051" max="12051" width="10.25" style="312" customWidth="1"/>
    <col min="12052" max="12052" width="7" style="312" customWidth="1"/>
    <col min="12053" max="12053" width="8" style="312" customWidth="1"/>
    <col min="12054" max="12054" width="7.875" style="312" customWidth="1"/>
    <col min="12055" max="12055" width="11.125" style="312" customWidth="1"/>
    <col min="12056" max="12056" width="10.125" style="312" customWidth="1"/>
    <col min="12057" max="12057" width="11.875" style="312" customWidth="1"/>
    <col min="12058" max="12058" width="11.75" style="312" customWidth="1"/>
    <col min="12059" max="12059" width="9.75" style="312" customWidth="1"/>
    <col min="12060" max="12060" width="10.375" style="312" customWidth="1"/>
    <col min="12061" max="12062" width="7" style="312" customWidth="1"/>
    <col min="12063" max="12063" width="8.125" style="312" customWidth="1"/>
    <col min="12064" max="12064" width="10" style="312" customWidth="1"/>
    <col min="12065" max="12065" width="9.375" style="312" customWidth="1"/>
    <col min="12066" max="12066" width="10.375" style="312" customWidth="1"/>
    <col min="12067" max="12067" width="10.75" style="312" customWidth="1"/>
    <col min="12068" max="12068" width="9.75" style="312" customWidth="1"/>
    <col min="12069" max="12069" width="10.75" style="312" customWidth="1"/>
    <col min="12070" max="12070" width="7" style="312" customWidth="1"/>
    <col min="12071" max="12072" width="8.25" style="312" customWidth="1"/>
    <col min="12073" max="12074" width="10" style="312" customWidth="1"/>
    <col min="12075" max="12076" width="10.75" style="312" customWidth="1"/>
    <col min="12077" max="12077" width="9.75" style="312" customWidth="1"/>
    <col min="12078" max="12078" width="7" style="312" customWidth="1"/>
    <col min="12079" max="12079" width="10.25" style="312" customWidth="1"/>
    <col min="12080" max="12082" width="7" style="312" customWidth="1"/>
    <col min="12083" max="12083" width="11.75" style="312" bestFit="1" customWidth="1"/>
    <col min="12084" max="12084" width="16.25" style="312" customWidth="1"/>
    <col min="12085" max="12085" width="7.125" style="312" bestFit="1" customWidth="1"/>
    <col min="12086" max="12087" width="9.125" style="312"/>
    <col min="12088" max="12088" width="7.125" style="312" bestFit="1" customWidth="1"/>
    <col min="12089" max="12091" width="9.125" style="312"/>
    <col min="12092" max="12094" width="9.75" style="312" bestFit="1" customWidth="1"/>
    <col min="12095" max="12095" width="8.375" style="312" bestFit="1" customWidth="1"/>
    <col min="12096" max="12103" width="9.75" style="312" bestFit="1" customWidth="1"/>
    <col min="12104" max="12288" width="9.125" style="312"/>
    <col min="12289" max="12289" width="9" style="312" customWidth="1"/>
    <col min="12290" max="12290" width="7" style="312" customWidth="1"/>
    <col min="12291" max="12292" width="8" style="312" customWidth="1"/>
    <col min="12293" max="12293" width="10.125" style="312" customWidth="1"/>
    <col min="12294" max="12294" width="9.625" style="312" customWidth="1"/>
    <col min="12295" max="12295" width="11.875" style="312" customWidth="1"/>
    <col min="12296" max="12296" width="12.75" style="312" customWidth="1"/>
    <col min="12297" max="12297" width="9.25" style="312" customWidth="1"/>
    <col min="12298" max="12298" width="9.625" style="312" customWidth="1"/>
    <col min="12299" max="12299" width="7.75" style="312" customWidth="1"/>
    <col min="12300" max="12300" width="8.375" style="312" customWidth="1"/>
    <col min="12301" max="12301" width="5.875" style="312" customWidth="1"/>
    <col min="12302" max="12302" width="8.875" style="312" customWidth="1"/>
    <col min="12303" max="12303" width="9.25" style="312" customWidth="1"/>
    <col min="12304" max="12304" width="11.125" style="312" customWidth="1"/>
    <col min="12305" max="12305" width="11.875" style="312" customWidth="1"/>
    <col min="12306" max="12306" width="8.75" style="312" customWidth="1"/>
    <col min="12307" max="12307" width="10.25" style="312" customWidth="1"/>
    <col min="12308" max="12308" width="7" style="312" customWidth="1"/>
    <col min="12309" max="12309" width="8" style="312" customWidth="1"/>
    <col min="12310" max="12310" width="7.875" style="312" customWidth="1"/>
    <col min="12311" max="12311" width="11.125" style="312" customWidth="1"/>
    <col min="12312" max="12312" width="10.125" style="312" customWidth="1"/>
    <col min="12313" max="12313" width="11.875" style="312" customWidth="1"/>
    <col min="12314" max="12314" width="11.75" style="312" customWidth="1"/>
    <col min="12315" max="12315" width="9.75" style="312" customWidth="1"/>
    <col min="12316" max="12316" width="10.375" style="312" customWidth="1"/>
    <col min="12317" max="12318" width="7" style="312" customWidth="1"/>
    <col min="12319" max="12319" width="8.125" style="312" customWidth="1"/>
    <col min="12320" max="12320" width="10" style="312" customWidth="1"/>
    <col min="12321" max="12321" width="9.375" style="312" customWidth="1"/>
    <col min="12322" max="12322" width="10.375" style="312" customWidth="1"/>
    <col min="12323" max="12323" width="10.75" style="312" customWidth="1"/>
    <col min="12324" max="12324" width="9.75" style="312" customWidth="1"/>
    <col min="12325" max="12325" width="10.75" style="312" customWidth="1"/>
    <col min="12326" max="12326" width="7" style="312" customWidth="1"/>
    <col min="12327" max="12328" width="8.25" style="312" customWidth="1"/>
    <col min="12329" max="12330" width="10" style="312" customWidth="1"/>
    <col min="12331" max="12332" width="10.75" style="312" customWidth="1"/>
    <col min="12333" max="12333" width="9.75" style="312" customWidth="1"/>
    <col min="12334" max="12334" width="7" style="312" customWidth="1"/>
    <col min="12335" max="12335" width="10.25" style="312" customWidth="1"/>
    <col min="12336" max="12338" width="7" style="312" customWidth="1"/>
    <col min="12339" max="12339" width="11.75" style="312" bestFit="1" customWidth="1"/>
    <col min="12340" max="12340" width="16.25" style="312" customWidth="1"/>
    <col min="12341" max="12341" width="7.125" style="312" bestFit="1" customWidth="1"/>
    <col min="12342" max="12343" width="9.125" style="312"/>
    <col min="12344" max="12344" width="7.125" style="312" bestFit="1" customWidth="1"/>
    <col min="12345" max="12347" width="9.125" style="312"/>
    <col min="12348" max="12350" width="9.75" style="312" bestFit="1" customWidth="1"/>
    <col min="12351" max="12351" width="8.375" style="312" bestFit="1" customWidth="1"/>
    <col min="12352" max="12359" width="9.75" style="312" bestFit="1" customWidth="1"/>
    <col min="12360" max="12544" width="9.125" style="312"/>
    <col min="12545" max="12545" width="9" style="312" customWidth="1"/>
    <col min="12546" max="12546" width="7" style="312" customWidth="1"/>
    <col min="12547" max="12548" width="8" style="312" customWidth="1"/>
    <col min="12549" max="12549" width="10.125" style="312" customWidth="1"/>
    <col min="12550" max="12550" width="9.625" style="312" customWidth="1"/>
    <col min="12551" max="12551" width="11.875" style="312" customWidth="1"/>
    <col min="12552" max="12552" width="12.75" style="312" customWidth="1"/>
    <col min="12553" max="12553" width="9.25" style="312" customWidth="1"/>
    <col min="12554" max="12554" width="9.625" style="312" customWidth="1"/>
    <col min="12555" max="12555" width="7.75" style="312" customWidth="1"/>
    <col min="12556" max="12556" width="8.375" style="312" customWidth="1"/>
    <col min="12557" max="12557" width="5.875" style="312" customWidth="1"/>
    <col min="12558" max="12558" width="8.875" style="312" customWidth="1"/>
    <col min="12559" max="12559" width="9.25" style="312" customWidth="1"/>
    <col min="12560" max="12560" width="11.125" style="312" customWidth="1"/>
    <col min="12561" max="12561" width="11.875" style="312" customWidth="1"/>
    <col min="12562" max="12562" width="8.75" style="312" customWidth="1"/>
    <col min="12563" max="12563" width="10.25" style="312" customWidth="1"/>
    <col min="12564" max="12564" width="7" style="312" customWidth="1"/>
    <col min="12565" max="12565" width="8" style="312" customWidth="1"/>
    <col min="12566" max="12566" width="7.875" style="312" customWidth="1"/>
    <col min="12567" max="12567" width="11.125" style="312" customWidth="1"/>
    <col min="12568" max="12568" width="10.125" style="312" customWidth="1"/>
    <col min="12569" max="12569" width="11.875" style="312" customWidth="1"/>
    <col min="12570" max="12570" width="11.75" style="312" customWidth="1"/>
    <col min="12571" max="12571" width="9.75" style="312" customWidth="1"/>
    <col min="12572" max="12572" width="10.375" style="312" customWidth="1"/>
    <col min="12573" max="12574" width="7" style="312" customWidth="1"/>
    <col min="12575" max="12575" width="8.125" style="312" customWidth="1"/>
    <col min="12576" max="12576" width="10" style="312" customWidth="1"/>
    <col min="12577" max="12577" width="9.375" style="312" customWidth="1"/>
    <col min="12578" max="12578" width="10.375" style="312" customWidth="1"/>
    <col min="12579" max="12579" width="10.75" style="312" customWidth="1"/>
    <col min="12580" max="12580" width="9.75" style="312" customWidth="1"/>
    <col min="12581" max="12581" width="10.75" style="312" customWidth="1"/>
    <col min="12582" max="12582" width="7" style="312" customWidth="1"/>
    <col min="12583" max="12584" width="8.25" style="312" customWidth="1"/>
    <col min="12585" max="12586" width="10" style="312" customWidth="1"/>
    <col min="12587" max="12588" width="10.75" style="312" customWidth="1"/>
    <col min="12589" max="12589" width="9.75" style="312" customWidth="1"/>
    <col min="12590" max="12590" width="7" style="312" customWidth="1"/>
    <col min="12591" max="12591" width="10.25" style="312" customWidth="1"/>
    <col min="12592" max="12594" width="7" style="312" customWidth="1"/>
    <col min="12595" max="12595" width="11.75" style="312" bestFit="1" customWidth="1"/>
    <col min="12596" max="12596" width="16.25" style="312" customWidth="1"/>
    <col min="12597" max="12597" width="7.125" style="312" bestFit="1" customWidth="1"/>
    <col min="12598" max="12599" width="9.125" style="312"/>
    <col min="12600" max="12600" width="7.125" style="312" bestFit="1" customWidth="1"/>
    <col min="12601" max="12603" width="9.125" style="312"/>
    <col min="12604" max="12606" width="9.75" style="312" bestFit="1" customWidth="1"/>
    <col min="12607" max="12607" width="8.375" style="312" bestFit="1" customWidth="1"/>
    <col min="12608" max="12615" width="9.75" style="312" bestFit="1" customWidth="1"/>
    <col min="12616" max="12800" width="9.125" style="312"/>
    <col min="12801" max="12801" width="9" style="312" customWidth="1"/>
    <col min="12802" max="12802" width="7" style="312" customWidth="1"/>
    <col min="12803" max="12804" width="8" style="312" customWidth="1"/>
    <col min="12805" max="12805" width="10.125" style="312" customWidth="1"/>
    <col min="12806" max="12806" width="9.625" style="312" customWidth="1"/>
    <col min="12807" max="12807" width="11.875" style="312" customWidth="1"/>
    <col min="12808" max="12808" width="12.75" style="312" customWidth="1"/>
    <col min="12809" max="12809" width="9.25" style="312" customWidth="1"/>
    <col min="12810" max="12810" width="9.625" style="312" customWidth="1"/>
    <col min="12811" max="12811" width="7.75" style="312" customWidth="1"/>
    <col min="12812" max="12812" width="8.375" style="312" customWidth="1"/>
    <col min="12813" max="12813" width="5.875" style="312" customWidth="1"/>
    <col min="12814" max="12814" width="8.875" style="312" customWidth="1"/>
    <col min="12815" max="12815" width="9.25" style="312" customWidth="1"/>
    <col min="12816" max="12816" width="11.125" style="312" customWidth="1"/>
    <col min="12817" max="12817" width="11.875" style="312" customWidth="1"/>
    <col min="12818" max="12818" width="8.75" style="312" customWidth="1"/>
    <col min="12819" max="12819" width="10.25" style="312" customWidth="1"/>
    <col min="12820" max="12820" width="7" style="312" customWidth="1"/>
    <col min="12821" max="12821" width="8" style="312" customWidth="1"/>
    <col min="12822" max="12822" width="7.875" style="312" customWidth="1"/>
    <col min="12823" max="12823" width="11.125" style="312" customWidth="1"/>
    <col min="12824" max="12824" width="10.125" style="312" customWidth="1"/>
    <col min="12825" max="12825" width="11.875" style="312" customWidth="1"/>
    <col min="12826" max="12826" width="11.75" style="312" customWidth="1"/>
    <col min="12827" max="12827" width="9.75" style="312" customWidth="1"/>
    <col min="12828" max="12828" width="10.375" style="312" customWidth="1"/>
    <col min="12829" max="12830" width="7" style="312" customWidth="1"/>
    <col min="12831" max="12831" width="8.125" style="312" customWidth="1"/>
    <col min="12832" max="12832" width="10" style="312" customWidth="1"/>
    <col min="12833" max="12833" width="9.375" style="312" customWidth="1"/>
    <col min="12834" max="12834" width="10.375" style="312" customWidth="1"/>
    <col min="12835" max="12835" width="10.75" style="312" customWidth="1"/>
    <col min="12836" max="12836" width="9.75" style="312" customWidth="1"/>
    <col min="12837" max="12837" width="10.75" style="312" customWidth="1"/>
    <col min="12838" max="12838" width="7" style="312" customWidth="1"/>
    <col min="12839" max="12840" width="8.25" style="312" customWidth="1"/>
    <col min="12841" max="12842" width="10" style="312" customWidth="1"/>
    <col min="12843" max="12844" width="10.75" style="312" customWidth="1"/>
    <col min="12845" max="12845" width="9.75" style="312" customWidth="1"/>
    <col min="12846" max="12846" width="7" style="312" customWidth="1"/>
    <col min="12847" max="12847" width="10.25" style="312" customWidth="1"/>
    <col min="12848" max="12850" width="7" style="312" customWidth="1"/>
    <col min="12851" max="12851" width="11.75" style="312" bestFit="1" customWidth="1"/>
    <col min="12852" max="12852" width="16.25" style="312" customWidth="1"/>
    <col min="12853" max="12853" width="7.125" style="312" bestFit="1" customWidth="1"/>
    <col min="12854" max="12855" width="9.125" style="312"/>
    <col min="12856" max="12856" width="7.125" style="312" bestFit="1" customWidth="1"/>
    <col min="12857" max="12859" width="9.125" style="312"/>
    <col min="12860" max="12862" width="9.75" style="312" bestFit="1" customWidth="1"/>
    <col min="12863" max="12863" width="8.375" style="312" bestFit="1" customWidth="1"/>
    <col min="12864" max="12871" width="9.75" style="312" bestFit="1" customWidth="1"/>
    <col min="12872" max="13056" width="9.125" style="312"/>
    <col min="13057" max="13057" width="9" style="312" customWidth="1"/>
    <col min="13058" max="13058" width="7" style="312" customWidth="1"/>
    <col min="13059" max="13060" width="8" style="312" customWidth="1"/>
    <col min="13061" max="13061" width="10.125" style="312" customWidth="1"/>
    <col min="13062" max="13062" width="9.625" style="312" customWidth="1"/>
    <col min="13063" max="13063" width="11.875" style="312" customWidth="1"/>
    <col min="13064" max="13064" width="12.75" style="312" customWidth="1"/>
    <col min="13065" max="13065" width="9.25" style="312" customWidth="1"/>
    <col min="13066" max="13066" width="9.625" style="312" customWidth="1"/>
    <col min="13067" max="13067" width="7.75" style="312" customWidth="1"/>
    <col min="13068" max="13068" width="8.375" style="312" customWidth="1"/>
    <col min="13069" max="13069" width="5.875" style="312" customWidth="1"/>
    <col min="13070" max="13070" width="8.875" style="312" customWidth="1"/>
    <col min="13071" max="13071" width="9.25" style="312" customWidth="1"/>
    <col min="13072" max="13072" width="11.125" style="312" customWidth="1"/>
    <col min="13073" max="13073" width="11.875" style="312" customWidth="1"/>
    <col min="13074" max="13074" width="8.75" style="312" customWidth="1"/>
    <col min="13075" max="13075" width="10.25" style="312" customWidth="1"/>
    <col min="13076" max="13076" width="7" style="312" customWidth="1"/>
    <col min="13077" max="13077" width="8" style="312" customWidth="1"/>
    <col min="13078" max="13078" width="7.875" style="312" customWidth="1"/>
    <col min="13079" max="13079" width="11.125" style="312" customWidth="1"/>
    <col min="13080" max="13080" width="10.125" style="312" customWidth="1"/>
    <col min="13081" max="13081" width="11.875" style="312" customWidth="1"/>
    <col min="13082" max="13082" width="11.75" style="312" customWidth="1"/>
    <col min="13083" max="13083" width="9.75" style="312" customWidth="1"/>
    <col min="13084" max="13084" width="10.375" style="312" customWidth="1"/>
    <col min="13085" max="13086" width="7" style="312" customWidth="1"/>
    <col min="13087" max="13087" width="8.125" style="312" customWidth="1"/>
    <col min="13088" max="13088" width="10" style="312" customWidth="1"/>
    <col min="13089" max="13089" width="9.375" style="312" customWidth="1"/>
    <col min="13090" max="13090" width="10.375" style="312" customWidth="1"/>
    <col min="13091" max="13091" width="10.75" style="312" customWidth="1"/>
    <col min="13092" max="13092" width="9.75" style="312" customWidth="1"/>
    <col min="13093" max="13093" width="10.75" style="312" customWidth="1"/>
    <col min="13094" max="13094" width="7" style="312" customWidth="1"/>
    <col min="13095" max="13096" width="8.25" style="312" customWidth="1"/>
    <col min="13097" max="13098" width="10" style="312" customWidth="1"/>
    <col min="13099" max="13100" width="10.75" style="312" customWidth="1"/>
    <col min="13101" max="13101" width="9.75" style="312" customWidth="1"/>
    <col min="13102" max="13102" width="7" style="312" customWidth="1"/>
    <col min="13103" max="13103" width="10.25" style="312" customWidth="1"/>
    <col min="13104" max="13106" width="7" style="312" customWidth="1"/>
    <col min="13107" max="13107" width="11.75" style="312" bestFit="1" customWidth="1"/>
    <col min="13108" max="13108" width="16.25" style="312" customWidth="1"/>
    <col min="13109" max="13109" width="7.125" style="312" bestFit="1" customWidth="1"/>
    <col min="13110" max="13111" width="9.125" style="312"/>
    <col min="13112" max="13112" width="7.125" style="312" bestFit="1" customWidth="1"/>
    <col min="13113" max="13115" width="9.125" style="312"/>
    <col min="13116" max="13118" width="9.75" style="312" bestFit="1" customWidth="1"/>
    <col min="13119" max="13119" width="8.375" style="312" bestFit="1" customWidth="1"/>
    <col min="13120" max="13127" width="9.75" style="312" bestFit="1" customWidth="1"/>
    <col min="13128" max="13312" width="9.125" style="312"/>
    <col min="13313" max="13313" width="9" style="312" customWidth="1"/>
    <col min="13314" max="13314" width="7" style="312" customWidth="1"/>
    <col min="13315" max="13316" width="8" style="312" customWidth="1"/>
    <col min="13317" max="13317" width="10.125" style="312" customWidth="1"/>
    <col min="13318" max="13318" width="9.625" style="312" customWidth="1"/>
    <col min="13319" max="13319" width="11.875" style="312" customWidth="1"/>
    <col min="13320" max="13320" width="12.75" style="312" customWidth="1"/>
    <col min="13321" max="13321" width="9.25" style="312" customWidth="1"/>
    <col min="13322" max="13322" width="9.625" style="312" customWidth="1"/>
    <col min="13323" max="13323" width="7.75" style="312" customWidth="1"/>
    <col min="13324" max="13324" width="8.375" style="312" customWidth="1"/>
    <col min="13325" max="13325" width="5.875" style="312" customWidth="1"/>
    <col min="13326" max="13326" width="8.875" style="312" customWidth="1"/>
    <col min="13327" max="13327" width="9.25" style="312" customWidth="1"/>
    <col min="13328" max="13328" width="11.125" style="312" customWidth="1"/>
    <col min="13329" max="13329" width="11.875" style="312" customWidth="1"/>
    <col min="13330" max="13330" width="8.75" style="312" customWidth="1"/>
    <col min="13331" max="13331" width="10.25" style="312" customWidth="1"/>
    <col min="13332" max="13332" width="7" style="312" customWidth="1"/>
    <col min="13333" max="13333" width="8" style="312" customWidth="1"/>
    <col min="13334" max="13334" width="7.875" style="312" customWidth="1"/>
    <col min="13335" max="13335" width="11.125" style="312" customWidth="1"/>
    <col min="13336" max="13336" width="10.125" style="312" customWidth="1"/>
    <col min="13337" max="13337" width="11.875" style="312" customWidth="1"/>
    <col min="13338" max="13338" width="11.75" style="312" customWidth="1"/>
    <col min="13339" max="13339" width="9.75" style="312" customWidth="1"/>
    <col min="13340" max="13340" width="10.375" style="312" customWidth="1"/>
    <col min="13341" max="13342" width="7" style="312" customWidth="1"/>
    <col min="13343" max="13343" width="8.125" style="312" customWidth="1"/>
    <col min="13344" max="13344" width="10" style="312" customWidth="1"/>
    <col min="13345" max="13345" width="9.375" style="312" customWidth="1"/>
    <col min="13346" max="13346" width="10.375" style="312" customWidth="1"/>
    <col min="13347" max="13347" width="10.75" style="312" customWidth="1"/>
    <col min="13348" max="13348" width="9.75" style="312" customWidth="1"/>
    <col min="13349" max="13349" width="10.75" style="312" customWidth="1"/>
    <col min="13350" max="13350" width="7" style="312" customWidth="1"/>
    <col min="13351" max="13352" width="8.25" style="312" customWidth="1"/>
    <col min="13353" max="13354" width="10" style="312" customWidth="1"/>
    <col min="13355" max="13356" width="10.75" style="312" customWidth="1"/>
    <col min="13357" max="13357" width="9.75" style="312" customWidth="1"/>
    <col min="13358" max="13358" width="7" style="312" customWidth="1"/>
    <col min="13359" max="13359" width="10.25" style="312" customWidth="1"/>
    <col min="13360" max="13362" width="7" style="312" customWidth="1"/>
    <col min="13363" max="13363" width="11.75" style="312" bestFit="1" customWidth="1"/>
    <col min="13364" max="13364" width="16.25" style="312" customWidth="1"/>
    <col min="13365" max="13365" width="7.125" style="312" bestFit="1" customWidth="1"/>
    <col min="13366" max="13367" width="9.125" style="312"/>
    <col min="13368" max="13368" width="7.125" style="312" bestFit="1" customWidth="1"/>
    <col min="13369" max="13371" width="9.125" style="312"/>
    <col min="13372" max="13374" width="9.75" style="312" bestFit="1" customWidth="1"/>
    <col min="13375" max="13375" width="8.375" style="312" bestFit="1" customWidth="1"/>
    <col min="13376" max="13383" width="9.75" style="312" bestFit="1" customWidth="1"/>
    <col min="13384" max="13568" width="9.125" style="312"/>
    <col min="13569" max="13569" width="9" style="312" customWidth="1"/>
    <col min="13570" max="13570" width="7" style="312" customWidth="1"/>
    <col min="13571" max="13572" width="8" style="312" customWidth="1"/>
    <col min="13573" max="13573" width="10.125" style="312" customWidth="1"/>
    <col min="13574" max="13574" width="9.625" style="312" customWidth="1"/>
    <col min="13575" max="13575" width="11.875" style="312" customWidth="1"/>
    <col min="13576" max="13576" width="12.75" style="312" customWidth="1"/>
    <col min="13577" max="13577" width="9.25" style="312" customWidth="1"/>
    <col min="13578" max="13578" width="9.625" style="312" customWidth="1"/>
    <col min="13579" max="13579" width="7.75" style="312" customWidth="1"/>
    <col min="13580" max="13580" width="8.375" style="312" customWidth="1"/>
    <col min="13581" max="13581" width="5.875" style="312" customWidth="1"/>
    <col min="13582" max="13582" width="8.875" style="312" customWidth="1"/>
    <col min="13583" max="13583" width="9.25" style="312" customWidth="1"/>
    <col min="13584" max="13584" width="11.125" style="312" customWidth="1"/>
    <col min="13585" max="13585" width="11.875" style="312" customWidth="1"/>
    <col min="13586" max="13586" width="8.75" style="312" customWidth="1"/>
    <col min="13587" max="13587" width="10.25" style="312" customWidth="1"/>
    <col min="13588" max="13588" width="7" style="312" customWidth="1"/>
    <col min="13589" max="13589" width="8" style="312" customWidth="1"/>
    <col min="13590" max="13590" width="7.875" style="312" customWidth="1"/>
    <col min="13591" max="13591" width="11.125" style="312" customWidth="1"/>
    <col min="13592" max="13592" width="10.125" style="312" customWidth="1"/>
    <col min="13593" max="13593" width="11.875" style="312" customWidth="1"/>
    <col min="13594" max="13594" width="11.75" style="312" customWidth="1"/>
    <col min="13595" max="13595" width="9.75" style="312" customWidth="1"/>
    <col min="13596" max="13596" width="10.375" style="312" customWidth="1"/>
    <col min="13597" max="13598" width="7" style="312" customWidth="1"/>
    <col min="13599" max="13599" width="8.125" style="312" customWidth="1"/>
    <col min="13600" max="13600" width="10" style="312" customWidth="1"/>
    <col min="13601" max="13601" width="9.375" style="312" customWidth="1"/>
    <col min="13602" max="13602" width="10.375" style="312" customWidth="1"/>
    <col min="13603" max="13603" width="10.75" style="312" customWidth="1"/>
    <col min="13604" max="13604" width="9.75" style="312" customWidth="1"/>
    <col min="13605" max="13605" width="10.75" style="312" customWidth="1"/>
    <col min="13606" max="13606" width="7" style="312" customWidth="1"/>
    <col min="13607" max="13608" width="8.25" style="312" customWidth="1"/>
    <col min="13609" max="13610" width="10" style="312" customWidth="1"/>
    <col min="13611" max="13612" width="10.75" style="312" customWidth="1"/>
    <col min="13613" max="13613" width="9.75" style="312" customWidth="1"/>
    <col min="13614" max="13614" width="7" style="312" customWidth="1"/>
    <col min="13615" max="13615" width="10.25" style="312" customWidth="1"/>
    <col min="13616" max="13618" width="7" style="312" customWidth="1"/>
    <col min="13619" max="13619" width="11.75" style="312" bestFit="1" customWidth="1"/>
    <col min="13620" max="13620" width="16.25" style="312" customWidth="1"/>
    <col min="13621" max="13621" width="7.125" style="312" bestFit="1" customWidth="1"/>
    <col min="13622" max="13623" width="9.125" style="312"/>
    <col min="13624" max="13624" width="7.125" style="312" bestFit="1" customWidth="1"/>
    <col min="13625" max="13627" width="9.125" style="312"/>
    <col min="13628" max="13630" width="9.75" style="312" bestFit="1" customWidth="1"/>
    <col min="13631" max="13631" width="8.375" style="312" bestFit="1" customWidth="1"/>
    <col min="13632" max="13639" width="9.75" style="312" bestFit="1" customWidth="1"/>
    <col min="13640" max="13824" width="9.125" style="312"/>
    <col min="13825" max="13825" width="9" style="312" customWidth="1"/>
    <col min="13826" max="13826" width="7" style="312" customWidth="1"/>
    <col min="13827" max="13828" width="8" style="312" customWidth="1"/>
    <col min="13829" max="13829" width="10.125" style="312" customWidth="1"/>
    <col min="13830" max="13830" width="9.625" style="312" customWidth="1"/>
    <col min="13831" max="13831" width="11.875" style="312" customWidth="1"/>
    <col min="13832" max="13832" width="12.75" style="312" customWidth="1"/>
    <col min="13833" max="13833" width="9.25" style="312" customWidth="1"/>
    <col min="13834" max="13834" width="9.625" style="312" customWidth="1"/>
    <col min="13835" max="13835" width="7.75" style="312" customWidth="1"/>
    <col min="13836" max="13836" width="8.375" style="312" customWidth="1"/>
    <col min="13837" max="13837" width="5.875" style="312" customWidth="1"/>
    <col min="13838" max="13838" width="8.875" style="312" customWidth="1"/>
    <col min="13839" max="13839" width="9.25" style="312" customWidth="1"/>
    <col min="13840" max="13840" width="11.125" style="312" customWidth="1"/>
    <col min="13841" max="13841" width="11.875" style="312" customWidth="1"/>
    <col min="13842" max="13842" width="8.75" style="312" customWidth="1"/>
    <col min="13843" max="13843" width="10.25" style="312" customWidth="1"/>
    <col min="13844" max="13844" width="7" style="312" customWidth="1"/>
    <col min="13845" max="13845" width="8" style="312" customWidth="1"/>
    <col min="13846" max="13846" width="7.875" style="312" customWidth="1"/>
    <col min="13847" max="13847" width="11.125" style="312" customWidth="1"/>
    <col min="13848" max="13848" width="10.125" style="312" customWidth="1"/>
    <col min="13849" max="13849" width="11.875" style="312" customWidth="1"/>
    <col min="13850" max="13850" width="11.75" style="312" customWidth="1"/>
    <col min="13851" max="13851" width="9.75" style="312" customWidth="1"/>
    <col min="13852" max="13852" width="10.375" style="312" customWidth="1"/>
    <col min="13853" max="13854" width="7" style="312" customWidth="1"/>
    <col min="13855" max="13855" width="8.125" style="312" customWidth="1"/>
    <col min="13856" max="13856" width="10" style="312" customWidth="1"/>
    <col min="13857" max="13857" width="9.375" style="312" customWidth="1"/>
    <col min="13858" max="13858" width="10.375" style="312" customWidth="1"/>
    <col min="13859" max="13859" width="10.75" style="312" customWidth="1"/>
    <col min="13860" max="13860" width="9.75" style="312" customWidth="1"/>
    <col min="13861" max="13861" width="10.75" style="312" customWidth="1"/>
    <col min="13862" max="13862" width="7" style="312" customWidth="1"/>
    <col min="13863" max="13864" width="8.25" style="312" customWidth="1"/>
    <col min="13865" max="13866" width="10" style="312" customWidth="1"/>
    <col min="13867" max="13868" width="10.75" style="312" customWidth="1"/>
    <col min="13869" max="13869" width="9.75" style="312" customWidth="1"/>
    <col min="13870" max="13870" width="7" style="312" customWidth="1"/>
    <col min="13871" max="13871" width="10.25" style="312" customWidth="1"/>
    <col min="13872" max="13874" width="7" style="312" customWidth="1"/>
    <col min="13875" max="13875" width="11.75" style="312" bestFit="1" customWidth="1"/>
    <col min="13876" max="13876" width="16.25" style="312" customWidth="1"/>
    <col min="13877" max="13877" width="7.125" style="312" bestFit="1" customWidth="1"/>
    <col min="13878" max="13879" width="9.125" style="312"/>
    <col min="13880" max="13880" width="7.125" style="312" bestFit="1" customWidth="1"/>
    <col min="13881" max="13883" width="9.125" style="312"/>
    <col min="13884" max="13886" width="9.75" style="312" bestFit="1" customWidth="1"/>
    <col min="13887" max="13887" width="8.375" style="312" bestFit="1" customWidth="1"/>
    <col min="13888" max="13895" width="9.75" style="312" bestFit="1" customWidth="1"/>
    <col min="13896" max="14080" width="9.125" style="312"/>
    <col min="14081" max="14081" width="9" style="312" customWidth="1"/>
    <col min="14082" max="14082" width="7" style="312" customWidth="1"/>
    <col min="14083" max="14084" width="8" style="312" customWidth="1"/>
    <col min="14085" max="14085" width="10.125" style="312" customWidth="1"/>
    <col min="14086" max="14086" width="9.625" style="312" customWidth="1"/>
    <col min="14087" max="14087" width="11.875" style="312" customWidth="1"/>
    <col min="14088" max="14088" width="12.75" style="312" customWidth="1"/>
    <col min="14089" max="14089" width="9.25" style="312" customWidth="1"/>
    <col min="14090" max="14090" width="9.625" style="312" customWidth="1"/>
    <col min="14091" max="14091" width="7.75" style="312" customWidth="1"/>
    <col min="14092" max="14092" width="8.375" style="312" customWidth="1"/>
    <col min="14093" max="14093" width="5.875" style="312" customWidth="1"/>
    <col min="14094" max="14094" width="8.875" style="312" customWidth="1"/>
    <col min="14095" max="14095" width="9.25" style="312" customWidth="1"/>
    <col min="14096" max="14096" width="11.125" style="312" customWidth="1"/>
    <col min="14097" max="14097" width="11.875" style="312" customWidth="1"/>
    <col min="14098" max="14098" width="8.75" style="312" customWidth="1"/>
    <col min="14099" max="14099" width="10.25" style="312" customWidth="1"/>
    <col min="14100" max="14100" width="7" style="312" customWidth="1"/>
    <col min="14101" max="14101" width="8" style="312" customWidth="1"/>
    <col min="14102" max="14102" width="7.875" style="312" customWidth="1"/>
    <col min="14103" max="14103" width="11.125" style="312" customWidth="1"/>
    <col min="14104" max="14104" width="10.125" style="312" customWidth="1"/>
    <col min="14105" max="14105" width="11.875" style="312" customWidth="1"/>
    <col min="14106" max="14106" width="11.75" style="312" customWidth="1"/>
    <col min="14107" max="14107" width="9.75" style="312" customWidth="1"/>
    <col min="14108" max="14108" width="10.375" style="312" customWidth="1"/>
    <col min="14109" max="14110" width="7" style="312" customWidth="1"/>
    <col min="14111" max="14111" width="8.125" style="312" customWidth="1"/>
    <col min="14112" max="14112" width="10" style="312" customWidth="1"/>
    <col min="14113" max="14113" width="9.375" style="312" customWidth="1"/>
    <col min="14114" max="14114" width="10.375" style="312" customWidth="1"/>
    <col min="14115" max="14115" width="10.75" style="312" customWidth="1"/>
    <col min="14116" max="14116" width="9.75" style="312" customWidth="1"/>
    <col min="14117" max="14117" width="10.75" style="312" customWidth="1"/>
    <col min="14118" max="14118" width="7" style="312" customWidth="1"/>
    <col min="14119" max="14120" width="8.25" style="312" customWidth="1"/>
    <col min="14121" max="14122" width="10" style="312" customWidth="1"/>
    <col min="14123" max="14124" width="10.75" style="312" customWidth="1"/>
    <col min="14125" max="14125" width="9.75" style="312" customWidth="1"/>
    <col min="14126" max="14126" width="7" style="312" customWidth="1"/>
    <col min="14127" max="14127" width="10.25" style="312" customWidth="1"/>
    <col min="14128" max="14130" width="7" style="312" customWidth="1"/>
    <col min="14131" max="14131" width="11.75" style="312" bestFit="1" customWidth="1"/>
    <col min="14132" max="14132" width="16.25" style="312" customWidth="1"/>
    <col min="14133" max="14133" width="7.125" style="312" bestFit="1" customWidth="1"/>
    <col min="14134" max="14135" width="9.125" style="312"/>
    <col min="14136" max="14136" width="7.125" style="312" bestFit="1" customWidth="1"/>
    <col min="14137" max="14139" width="9.125" style="312"/>
    <col min="14140" max="14142" width="9.75" style="312" bestFit="1" customWidth="1"/>
    <col min="14143" max="14143" width="8.375" style="312" bestFit="1" customWidth="1"/>
    <col min="14144" max="14151" width="9.75" style="312" bestFit="1" customWidth="1"/>
    <col min="14152" max="14336" width="9.125" style="312"/>
    <col min="14337" max="14337" width="9" style="312" customWidth="1"/>
    <col min="14338" max="14338" width="7" style="312" customWidth="1"/>
    <col min="14339" max="14340" width="8" style="312" customWidth="1"/>
    <col min="14341" max="14341" width="10.125" style="312" customWidth="1"/>
    <col min="14342" max="14342" width="9.625" style="312" customWidth="1"/>
    <col min="14343" max="14343" width="11.875" style="312" customWidth="1"/>
    <col min="14344" max="14344" width="12.75" style="312" customWidth="1"/>
    <col min="14345" max="14345" width="9.25" style="312" customWidth="1"/>
    <col min="14346" max="14346" width="9.625" style="312" customWidth="1"/>
    <col min="14347" max="14347" width="7.75" style="312" customWidth="1"/>
    <col min="14348" max="14348" width="8.375" style="312" customWidth="1"/>
    <col min="14349" max="14349" width="5.875" style="312" customWidth="1"/>
    <col min="14350" max="14350" width="8.875" style="312" customWidth="1"/>
    <col min="14351" max="14351" width="9.25" style="312" customWidth="1"/>
    <col min="14352" max="14352" width="11.125" style="312" customWidth="1"/>
    <col min="14353" max="14353" width="11.875" style="312" customWidth="1"/>
    <col min="14354" max="14354" width="8.75" style="312" customWidth="1"/>
    <col min="14355" max="14355" width="10.25" style="312" customWidth="1"/>
    <col min="14356" max="14356" width="7" style="312" customWidth="1"/>
    <col min="14357" max="14357" width="8" style="312" customWidth="1"/>
    <col min="14358" max="14358" width="7.875" style="312" customWidth="1"/>
    <col min="14359" max="14359" width="11.125" style="312" customWidth="1"/>
    <col min="14360" max="14360" width="10.125" style="312" customWidth="1"/>
    <col min="14361" max="14361" width="11.875" style="312" customWidth="1"/>
    <col min="14362" max="14362" width="11.75" style="312" customWidth="1"/>
    <col min="14363" max="14363" width="9.75" style="312" customWidth="1"/>
    <col min="14364" max="14364" width="10.375" style="312" customWidth="1"/>
    <col min="14365" max="14366" width="7" style="312" customWidth="1"/>
    <col min="14367" max="14367" width="8.125" style="312" customWidth="1"/>
    <col min="14368" max="14368" width="10" style="312" customWidth="1"/>
    <col min="14369" max="14369" width="9.375" style="312" customWidth="1"/>
    <col min="14370" max="14370" width="10.375" style="312" customWidth="1"/>
    <col min="14371" max="14371" width="10.75" style="312" customWidth="1"/>
    <col min="14372" max="14372" width="9.75" style="312" customWidth="1"/>
    <col min="14373" max="14373" width="10.75" style="312" customWidth="1"/>
    <col min="14374" max="14374" width="7" style="312" customWidth="1"/>
    <col min="14375" max="14376" width="8.25" style="312" customWidth="1"/>
    <col min="14377" max="14378" width="10" style="312" customWidth="1"/>
    <col min="14379" max="14380" width="10.75" style="312" customWidth="1"/>
    <col min="14381" max="14381" width="9.75" style="312" customWidth="1"/>
    <col min="14382" max="14382" width="7" style="312" customWidth="1"/>
    <col min="14383" max="14383" width="10.25" style="312" customWidth="1"/>
    <col min="14384" max="14386" width="7" style="312" customWidth="1"/>
    <col min="14387" max="14387" width="11.75" style="312" bestFit="1" customWidth="1"/>
    <col min="14388" max="14388" width="16.25" style="312" customWidth="1"/>
    <col min="14389" max="14389" width="7.125" style="312" bestFit="1" customWidth="1"/>
    <col min="14390" max="14391" width="9.125" style="312"/>
    <col min="14392" max="14392" width="7.125" style="312" bestFit="1" customWidth="1"/>
    <col min="14393" max="14395" width="9.125" style="312"/>
    <col min="14396" max="14398" width="9.75" style="312" bestFit="1" customWidth="1"/>
    <col min="14399" max="14399" width="8.375" style="312" bestFit="1" customWidth="1"/>
    <col min="14400" max="14407" width="9.75" style="312" bestFit="1" customWidth="1"/>
    <col min="14408" max="14592" width="9.125" style="312"/>
    <col min="14593" max="14593" width="9" style="312" customWidth="1"/>
    <col min="14594" max="14594" width="7" style="312" customWidth="1"/>
    <col min="14595" max="14596" width="8" style="312" customWidth="1"/>
    <col min="14597" max="14597" width="10.125" style="312" customWidth="1"/>
    <col min="14598" max="14598" width="9.625" style="312" customWidth="1"/>
    <col min="14599" max="14599" width="11.875" style="312" customWidth="1"/>
    <col min="14600" max="14600" width="12.75" style="312" customWidth="1"/>
    <col min="14601" max="14601" width="9.25" style="312" customWidth="1"/>
    <col min="14602" max="14602" width="9.625" style="312" customWidth="1"/>
    <col min="14603" max="14603" width="7.75" style="312" customWidth="1"/>
    <col min="14604" max="14604" width="8.375" style="312" customWidth="1"/>
    <col min="14605" max="14605" width="5.875" style="312" customWidth="1"/>
    <col min="14606" max="14606" width="8.875" style="312" customWidth="1"/>
    <col min="14607" max="14607" width="9.25" style="312" customWidth="1"/>
    <col min="14608" max="14608" width="11.125" style="312" customWidth="1"/>
    <col min="14609" max="14609" width="11.875" style="312" customWidth="1"/>
    <col min="14610" max="14610" width="8.75" style="312" customWidth="1"/>
    <col min="14611" max="14611" width="10.25" style="312" customWidth="1"/>
    <col min="14612" max="14612" width="7" style="312" customWidth="1"/>
    <col min="14613" max="14613" width="8" style="312" customWidth="1"/>
    <col min="14614" max="14614" width="7.875" style="312" customWidth="1"/>
    <col min="14615" max="14615" width="11.125" style="312" customWidth="1"/>
    <col min="14616" max="14616" width="10.125" style="312" customWidth="1"/>
    <col min="14617" max="14617" width="11.875" style="312" customWidth="1"/>
    <col min="14618" max="14618" width="11.75" style="312" customWidth="1"/>
    <col min="14619" max="14619" width="9.75" style="312" customWidth="1"/>
    <col min="14620" max="14620" width="10.375" style="312" customWidth="1"/>
    <col min="14621" max="14622" width="7" style="312" customWidth="1"/>
    <col min="14623" max="14623" width="8.125" style="312" customWidth="1"/>
    <col min="14624" max="14624" width="10" style="312" customWidth="1"/>
    <col min="14625" max="14625" width="9.375" style="312" customWidth="1"/>
    <col min="14626" max="14626" width="10.375" style="312" customWidth="1"/>
    <col min="14627" max="14627" width="10.75" style="312" customWidth="1"/>
    <col min="14628" max="14628" width="9.75" style="312" customWidth="1"/>
    <col min="14629" max="14629" width="10.75" style="312" customWidth="1"/>
    <col min="14630" max="14630" width="7" style="312" customWidth="1"/>
    <col min="14631" max="14632" width="8.25" style="312" customWidth="1"/>
    <col min="14633" max="14634" width="10" style="312" customWidth="1"/>
    <col min="14635" max="14636" width="10.75" style="312" customWidth="1"/>
    <col min="14637" max="14637" width="9.75" style="312" customWidth="1"/>
    <col min="14638" max="14638" width="7" style="312" customWidth="1"/>
    <col min="14639" max="14639" width="10.25" style="312" customWidth="1"/>
    <col min="14640" max="14642" width="7" style="312" customWidth="1"/>
    <col min="14643" max="14643" width="11.75" style="312" bestFit="1" customWidth="1"/>
    <col min="14644" max="14644" width="16.25" style="312" customWidth="1"/>
    <col min="14645" max="14645" width="7.125" style="312" bestFit="1" customWidth="1"/>
    <col min="14646" max="14647" width="9.125" style="312"/>
    <col min="14648" max="14648" width="7.125" style="312" bestFit="1" customWidth="1"/>
    <col min="14649" max="14651" width="9.125" style="312"/>
    <col min="14652" max="14654" width="9.75" style="312" bestFit="1" customWidth="1"/>
    <col min="14655" max="14655" width="8.375" style="312" bestFit="1" customWidth="1"/>
    <col min="14656" max="14663" width="9.75" style="312" bestFit="1" customWidth="1"/>
    <col min="14664" max="14848" width="9.125" style="312"/>
    <col min="14849" max="14849" width="9" style="312" customWidth="1"/>
    <col min="14850" max="14850" width="7" style="312" customWidth="1"/>
    <col min="14851" max="14852" width="8" style="312" customWidth="1"/>
    <col min="14853" max="14853" width="10.125" style="312" customWidth="1"/>
    <col min="14854" max="14854" width="9.625" style="312" customWidth="1"/>
    <col min="14855" max="14855" width="11.875" style="312" customWidth="1"/>
    <col min="14856" max="14856" width="12.75" style="312" customWidth="1"/>
    <col min="14857" max="14857" width="9.25" style="312" customWidth="1"/>
    <col min="14858" max="14858" width="9.625" style="312" customWidth="1"/>
    <col min="14859" max="14859" width="7.75" style="312" customWidth="1"/>
    <col min="14860" max="14860" width="8.375" style="312" customWidth="1"/>
    <col min="14861" max="14861" width="5.875" style="312" customWidth="1"/>
    <col min="14862" max="14862" width="8.875" style="312" customWidth="1"/>
    <col min="14863" max="14863" width="9.25" style="312" customWidth="1"/>
    <col min="14864" max="14864" width="11.125" style="312" customWidth="1"/>
    <col min="14865" max="14865" width="11.875" style="312" customWidth="1"/>
    <col min="14866" max="14866" width="8.75" style="312" customWidth="1"/>
    <col min="14867" max="14867" width="10.25" style="312" customWidth="1"/>
    <col min="14868" max="14868" width="7" style="312" customWidth="1"/>
    <col min="14869" max="14869" width="8" style="312" customWidth="1"/>
    <col min="14870" max="14870" width="7.875" style="312" customWidth="1"/>
    <col min="14871" max="14871" width="11.125" style="312" customWidth="1"/>
    <col min="14872" max="14872" width="10.125" style="312" customWidth="1"/>
    <col min="14873" max="14873" width="11.875" style="312" customWidth="1"/>
    <col min="14874" max="14874" width="11.75" style="312" customWidth="1"/>
    <col min="14875" max="14875" width="9.75" style="312" customWidth="1"/>
    <col min="14876" max="14876" width="10.375" style="312" customWidth="1"/>
    <col min="14877" max="14878" width="7" style="312" customWidth="1"/>
    <col min="14879" max="14879" width="8.125" style="312" customWidth="1"/>
    <col min="14880" max="14880" width="10" style="312" customWidth="1"/>
    <col min="14881" max="14881" width="9.375" style="312" customWidth="1"/>
    <col min="14882" max="14882" width="10.375" style="312" customWidth="1"/>
    <col min="14883" max="14883" width="10.75" style="312" customWidth="1"/>
    <col min="14884" max="14884" width="9.75" style="312" customWidth="1"/>
    <col min="14885" max="14885" width="10.75" style="312" customWidth="1"/>
    <col min="14886" max="14886" width="7" style="312" customWidth="1"/>
    <col min="14887" max="14888" width="8.25" style="312" customWidth="1"/>
    <col min="14889" max="14890" width="10" style="312" customWidth="1"/>
    <col min="14891" max="14892" width="10.75" style="312" customWidth="1"/>
    <col min="14893" max="14893" width="9.75" style="312" customWidth="1"/>
    <col min="14894" max="14894" width="7" style="312" customWidth="1"/>
    <col min="14895" max="14895" width="10.25" style="312" customWidth="1"/>
    <col min="14896" max="14898" width="7" style="312" customWidth="1"/>
    <col min="14899" max="14899" width="11.75" style="312" bestFit="1" customWidth="1"/>
    <col min="14900" max="14900" width="16.25" style="312" customWidth="1"/>
    <col min="14901" max="14901" width="7.125" style="312" bestFit="1" customWidth="1"/>
    <col min="14902" max="14903" width="9.125" style="312"/>
    <col min="14904" max="14904" width="7.125" style="312" bestFit="1" customWidth="1"/>
    <col min="14905" max="14907" width="9.125" style="312"/>
    <col min="14908" max="14910" width="9.75" style="312" bestFit="1" customWidth="1"/>
    <col min="14911" max="14911" width="8.375" style="312" bestFit="1" customWidth="1"/>
    <col min="14912" max="14919" width="9.75" style="312" bestFit="1" customWidth="1"/>
    <col min="14920" max="15104" width="9.125" style="312"/>
    <col min="15105" max="15105" width="9" style="312" customWidth="1"/>
    <col min="15106" max="15106" width="7" style="312" customWidth="1"/>
    <col min="15107" max="15108" width="8" style="312" customWidth="1"/>
    <col min="15109" max="15109" width="10.125" style="312" customWidth="1"/>
    <col min="15110" max="15110" width="9.625" style="312" customWidth="1"/>
    <col min="15111" max="15111" width="11.875" style="312" customWidth="1"/>
    <col min="15112" max="15112" width="12.75" style="312" customWidth="1"/>
    <col min="15113" max="15113" width="9.25" style="312" customWidth="1"/>
    <col min="15114" max="15114" width="9.625" style="312" customWidth="1"/>
    <col min="15115" max="15115" width="7.75" style="312" customWidth="1"/>
    <col min="15116" max="15116" width="8.375" style="312" customWidth="1"/>
    <col min="15117" max="15117" width="5.875" style="312" customWidth="1"/>
    <col min="15118" max="15118" width="8.875" style="312" customWidth="1"/>
    <col min="15119" max="15119" width="9.25" style="312" customWidth="1"/>
    <col min="15120" max="15120" width="11.125" style="312" customWidth="1"/>
    <col min="15121" max="15121" width="11.875" style="312" customWidth="1"/>
    <col min="15122" max="15122" width="8.75" style="312" customWidth="1"/>
    <col min="15123" max="15123" width="10.25" style="312" customWidth="1"/>
    <col min="15124" max="15124" width="7" style="312" customWidth="1"/>
    <col min="15125" max="15125" width="8" style="312" customWidth="1"/>
    <col min="15126" max="15126" width="7.875" style="312" customWidth="1"/>
    <col min="15127" max="15127" width="11.125" style="312" customWidth="1"/>
    <col min="15128" max="15128" width="10.125" style="312" customWidth="1"/>
    <col min="15129" max="15129" width="11.875" style="312" customWidth="1"/>
    <col min="15130" max="15130" width="11.75" style="312" customWidth="1"/>
    <col min="15131" max="15131" width="9.75" style="312" customWidth="1"/>
    <col min="15132" max="15132" width="10.375" style="312" customWidth="1"/>
    <col min="15133" max="15134" width="7" style="312" customWidth="1"/>
    <col min="15135" max="15135" width="8.125" style="312" customWidth="1"/>
    <col min="15136" max="15136" width="10" style="312" customWidth="1"/>
    <col min="15137" max="15137" width="9.375" style="312" customWidth="1"/>
    <col min="15138" max="15138" width="10.375" style="312" customWidth="1"/>
    <col min="15139" max="15139" width="10.75" style="312" customWidth="1"/>
    <col min="15140" max="15140" width="9.75" style="312" customWidth="1"/>
    <col min="15141" max="15141" width="10.75" style="312" customWidth="1"/>
    <col min="15142" max="15142" width="7" style="312" customWidth="1"/>
    <col min="15143" max="15144" width="8.25" style="312" customWidth="1"/>
    <col min="15145" max="15146" width="10" style="312" customWidth="1"/>
    <col min="15147" max="15148" width="10.75" style="312" customWidth="1"/>
    <col min="15149" max="15149" width="9.75" style="312" customWidth="1"/>
    <col min="15150" max="15150" width="7" style="312" customWidth="1"/>
    <col min="15151" max="15151" width="10.25" style="312" customWidth="1"/>
    <col min="15152" max="15154" width="7" style="312" customWidth="1"/>
    <col min="15155" max="15155" width="11.75" style="312" bestFit="1" customWidth="1"/>
    <col min="15156" max="15156" width="16.25" style="312" customWidth="1"/>
    <col min="15157" max="15157" width="7.125" style="312" bestFit="1" customWidth="1"/>
    <col min="15158" max="15159" width="9.125" style="312"/>
    <col min="15160" max="15160" width="7.125" style="312" bestFit="1" customWidth="1"/>
    <col min="15161" max="15163" width="9.125" style="312"/>
    <col min="15164" max="15166" width="9.75" style="312" bestFit="1" customWidth="1"/>
    <col min="15167" max="15167" width="8.375" style="312" bestFit="1" customWidth="1"/>
    <col min="15168" max="15175" width="9.75" style="312" bestFit="1" customWidth="1"/>
    <col min="15176" max="15360" width="9.125" style="312"/>
    <col min="15361" max="15361" width="9" style="312" customWidth="1"/>
    <col min="15362" max="15362" width="7" style="312" customWidth="1"/>
    <col min="15363" max="15364" width="8" style="312" customWidth="1"/>
    <col min="15365" max="15365" width="10.125" style="312" customWidth="1"/>
    <col min="15366" max="15366" width="9.625" style="312" customWidth="1"/>
    <col min="15367" max="15367" width="11.875" style="312" customWidth="1"/>
    <col min="15368" max="15368" width="12.75" style="312" customWidth="1"/>
    <col min="15369" max="15369" width="9.25" style="312" customWidth="1"/>
    <col min="15370" max="15370" width="9.625" style="312" customWidth="1"/>
    <col min="15371" max="15371" width="7.75" style="312" customWidth="1"/>
    <col min="15372" max="15372" width="8.375" style="312" customWidth="1"/>
    <col min="15373" max="15373" width="5.875" style="312" customWidth="1"/>
    <col min="15374" max="15374" width="8.875" style="312" customWidth="1"/>
    <col min="15375" max="15375" width="9.25" style="312" customWidth="1"/>
    <col min="15376" max="15376" width="11.125" style="312" customWidth="1"/>
    <col min="15377" max="15377" width="11.875" style="312" customWidth="1"/>
    <col min="15378" max="15378" width="8.75" style="312" customWidth="1"/>
    <col min="15379" max="15379" width="10.25" style="312" customWidth="1"/>
    <col min="15380" max="15380" width="7" style="312" customWidth="1"/>
    <col min="15381" max="15381" width="8" style="312" customWidth="1"/>
    <col min="15382" max="15382" width="7.875" style="312" customWidth="1"/>
    <col min="15383" max="15383" width="11.125" style="312" customWidth="1"/>
    <col min="15384" max="15384" width="10.125" style="312" customWidth="1"/>
    <col min="15385" max="15385" width="11.875" style="312" customWidth="1"/>
    <col min="15386" max="15386" width="11.75" style="312" customWidth="1"/>
    <col min="15387" max="15387" width="9.75" style="312" customWidth="1"/>
    <col min="15388" max="15388" width="10.375" style="312" customWidth="1"/>
    <col min="15389" max="15390" width="7" style="312" customWidth="1"/>
    <col min="15391" max="15391" width="8.125" style="312" customWidth="1"/>
    <col min="15392" max="15392" width="10" style="312" customWidth="1"/>
    <col min="15393" max="15393" width="9.375" style="312" customWidth="1"/>
    <col min="15394" max="15394" width="10.375" style="312" customWidth="1"/>
    <col min="15395" max="15395" width="10.75" style="312" customWidth="1"/>
    <col min="15396" max="15396" width="9.75" style="312" customWidth="1"/>
    <col min="15397" max="15397" width="10.75" style="312" customWidth="1"/>
    <col min="15398" max="15398" width="7" style="312" customWidth="1"/>
    <col min="15399" max="15400" width="8.25" style="312" customWidth="1"/>
    <col min="15401" max="15402" width="10" style="312" customWidth="1"/>
    <col min="15403" max="15404" width="10.75" style="312" customWidth="1"/>
    <col min="15405" max="15405" width="9.75" style="312" customWidth="1"/>
    <col min="15406" max="15406" width="7" style="312" customWidth="1"/>
    <col min="15407" max="15407" width="10.25" style="312" customWidth="1"/>
    <col min="15408" max="15410" width="7" style="312" customWidth="1"/>
    <col min="15411" max="15411" width="11.75" style="312" bestFit="1" customWidth="1"/>
    <col min="15412" max="15412" width="16.25" style="312" customWidth="1"/>
    <col min="15413" max="15413" width="7.125" style="312" bestFit="1" customWidth="1"/>
    <col min="15414" max="15415" width="9.125" style="312"/>
    <col min="15416" max="15416" width="7.125" style="312" bestFit="1" customWidth="1"/>
    <col min="15417" max="15419" width="9.125" style="312"/>
    <col min="15420" max="15422" width="9.75" style="312" bestFit="1" customWidth="1"/>
    <col min="15423" max="15423" width="8.375" style="312" bestFit="1" customWidth="1"/>
    <col min="15424" max="15431" width="9.75" style="312" bestFit="1" customWidth="1"/>
    <col min="15432" max="15616" width="9.125" style="312"/>
    <col min="15617" max="15617" width="9" style="312" customWidth="1"/>
    <col min="15618" max="15618" width="7" style="312" customWidth="1"/>
    <col min="15619" max="15620" width="8" style="312" customWidth="1"/>
    <col min="15621" max="15621" width="10.125" style="312" customWidth="1"/>
    <col min="15622" max="15622" width="9.625" style="312" customWidth="1"/>
    <col min="15623" max="15623" width="11.875" style="312" customWidth="1"/>
    <col min="15624" max="15624" width="12.75" style="312" customWidth="1"/>
    <col min="15625" max="15625" width="9.25" style="312" customWidth="1"/>
    <col min="15626" max="15626" width="9.625" style="312" customWidth="1"/>
    <col min="15627" max="15627" width="7.75" style="312" customWidth="1"/>
    <col min="15628" max="15628" width="8.375" style="312" customWidth="1"/>
    <col min="15629" max="15629" width="5.875" style="312" customWidth="1"/>
    <col min="15630" max="15630" width="8.875" style="312" customWidth="1"/>
    <col min="15631" max="15631" width="9.25" style="312" customWidth="1"/>
    <col min="15632" max="15632" width="11.125" style="312" customWidth="1"/>
    <col min="15633" max="15633" width="11.875" style="312" customWidth="1"/>
    <col min="15634" max="15634" width="8.75" style="312" customWidth="1"/>
    <col min="15635" max="15635" width="10.25" style="312" customWidth="1"/>
    <col min="15636" max="15636" width="7" style="312" customWidth="1"/>
    <col min="15637" max="15637" width="8" style="312" customWidth="1"/>
    <col min="15638" max="15638" width="7.875" style="312" customWidth="1"/>
    <col min="15639" max="15639" width="11.125" style="312" customWidth="1"/>
    <col min="15640" max="15640" width="10.125" style="312" customWidth="1"/>
    <col min="15641" max="15641" width="11.875" style="312" customWidth="1"/>
    <col min="15642" max="15642" width="11.75" style="312" customWidth="1"/>
    <col min="15643" max="15643" width="9.75" style="312" customWidth="1"/>
    <col min="15644" max="15644" width="10.375" style="312" customWidth="1"/>
    <col min="15645" max="15646" width="7" style="312" customWidth="1"/>
    <col min="15647" max="15647" width="8.125" style="312" customWidth="1"/>
    <col min="15648" max="15648" width="10" style="312" customWidth="1"/>
    <col min="15649" max="15649" width="9.375" style="312" customWidth="1"/>
    <col min="15650" max="15650" width="10.375" style="312" customWidth="1"/>
    <col min="15651" max="15651" width="10.75" style="312" customWidth="1"/>
    <col min="15652" max="15652" width="9.75" style="312" customWidth="1"/>
    <col min="15653" max="15653" width="10.75" style="312" customWidth="1"/>
    <col min="15654" max="15654" width="7" style="312" customWidth="1"/>
    <col min="15655" max="15656" width="8.25" style="312" customWidth="1"/>
    <col min="15657" max="15658" width="10" style="312" customWidth="1"/>
    <col min="15659" max="15660" width="10.75" style="312" customWidth="1"/>
    <col min="15661" max="15661" width="9.75" style="312" customWidth="1"/>
    <col min="15662" max="15662" width="7" style="312" customWidth="1"/>
    <col min="15663" max="15663" width="10.25" style="312" customWidth="1"/>
    <col min="15664" max="15666" width="7" style="312" customWidth="1"/>
    <col min="15667" max="15667" width="11.75" style="312" bestFit="1" customWidth="1"/>
    <col min="15668" max="15668" width="16.25" style="312" customWidth="1"/>
    <col min="15669" max="15669" width="7.125" style="312" bestFit="1" customWidth="1"/>
    <col min="15670" max="15671" width="9.125" style="312"/>
    <col min="15672" max="15672" width="7.125" style="312" bestFit="1" customWidth="1"/>
    <col min="15673" max="15675" width="9.125" style="312"/>
    <col min="15676" max="15678" width="9.75" style="312" bestFit="1" customWidth="1"/>
    <col min="15679" max="15679" width="8.375" style="312" bestFit="1" customWidth="1"/>
    <col min="15680" max="15687" width="9.75" style="312" bestFit="1" customWidth="1"/>
    <col min="15688" max="15872" width="9.125" style="312"/>
    <col min="15873" max="15873" width="9" style="312" customWidth="1"/>
    <col min="15874" max="15874" width="7" style="312" customWidth="1"/>
    <col min="15875" max="15876" width="8" style="312" customWidth="1"/>
    <col min="15877" max="15877" width="10.125" style="312" customWidth="1"/>
    <col min="15878" max="15878" width="9.625" style="312" customWidth="1"/>
    <col min="15879" max="15879" width="11.875" style="312" customWidth="1"/>
    <col min="15880" max="15880" width="12.75" style="312" customWidth="1"/>
    <col min="15881" max="15881" width="9.25" style="312" customWidth="1"/>
    <col min="15882" max="15882" width="9.625" style="312" customWidth="1"/>
    <col min="15883" max="15883" width="7.75" style="312" customWidth="1"/>
    <col min="15884" max="15884" width="8.375" style="312" customWidth="1"/>
    <col min="15885" max="15885" width="5.875" style="312" customWidth="1"/>
    <col min="15886" max="15886" width="8.875" style="312" customWidth="1"/>
    <col min="15887" max="15887" width="9.25" style="312" customWidth="1"/>
    <col min="15888" max="15888" width="11.125" style="312" customWidth="1"/>
    <col min="15889" max="15889" width="11.875" style="312" customWidth="1"/>
    <col min="15890" max="15890" width="8.75" style="312" customWidth="1"/>
    <col min="15891" max="15891" width="10.25" style="312" customWidth="1"/>
    <col min="15892" max="15892" width="7" style="312" customWidth="1"/>
    <col min="15893" max="15893" width="8" style="312" customWidth="1"/>
    <col min="15894" max="15894" width="7.875" style="312" customWidth="1"/>
    <col min="15895" max="15895" width="11.125" style="312" customWidth="1"/>
    <col min="15896" max="15896" width="10.125" style="312" customWidth="1"/>
    <col min="15897" max="15897" width="11.875" style="312" customWidth="1"/>
    <col min="15898" max="15898" width="11.75" style="312" customWidth="1"/>
    <col min="15899" max="15899" width="9.75" style="312" customWidth="1"/>
    <col min="15900" max="15900" width="10.375" style="312" customWidth="1"/>
    <col min="15901" max="15902" width="7" style="312" customWidth="1"/>
    <col min="15903" max="15903" width="8.125" style="312" customWidth="1"/>
    <col min="15904" max="15904" width="10" style="312" customWidth="1"/>
    <col min="15905" max="15905" width="9.375" style="312" customWidth="1"/>
    <col min="15906" max="15906" width="10.375" style="312" customWidth="1"/>
    <col min="15907" max="15907" width="10.75" style="312" customWidth="1"/>
    <col min="15908" max="15908" width="9.75" style="312" customWidth="1"/>
    <col min="15909" max="15909" width="10.75" style="312" customWidth="1"/>
    <col min="15910" max="15910" width="7" style="312" customWidth="1"/>
    <col min="15911" max="15912" width="8.25" style="312" customWidth="1"/>
    <col min="15913" max="15914" width="10" style="312" customWidth="1"/>
    <col min="15915" max="15916" width="10.75" style="312" customWidth="1"/>
    <col min="15917" max="15917" width="9.75" style="312" customWidth="1"/>
    <col min="15918" max="15918" width="7" style="312" customWidth="1"/>
    <col min="15919" max="15919" width="10.25" style="312" customWidth="1"/>
    <col min="15920" max="15922" width="7" style="312" customWidth="1"/>
    <col min="15923" max="15923" width="11.75" style="312" bestFit="1" customWidth="1"/>
    <col min="15924" max="15924" width="16.25" style="312" customWidth="1"/>
    <col min="15925" max="15925" width="7.125" style="312" bestFit="1" customWidth="1"/>
    <col min="15926" max="15927" width="9.125" style="312"/>
    <col min="15928" max="15928" width="7.125" style="312" bestFit="1" customWidth="1"/>
    <col min="15929" max="15931" width="9.125" style="312"/>
    <col min="15932" max="15934" width="9.75" style="312" bestFit="1" customWidth="1"/>
    <col min="15935" max="15935" width="8.375" style="312" bestFit="1" customWidth="1"/>
    <col min="15936" max="15943" width="9.75" style="312" bestFit="1" customWidth="1"/>
    <col min="15944" max="16128" width="9.125" style="312"/>
    <col min="16129" max="16129" width="9" style="312" customWidth="1"/>
    <col min="16130" max="16130" width="7" style="312" customWidth="1"/>
    <col min="16131" max="16132" width="8" style="312" customWidth="1"/>
    <col min="16133" max="16133" width="10.125" style="312" customWidth="1"/>
    <col min="16134" max="16134" width="9.625" style="312" customWidth="1"/>
    <col min="16135" max="16135" width="11.875" style="312" customWidth="1"/>
    <col min="16136" max="16136" width="12.75" style="312" customWidth="1"/>
    <col min="16137" max="16137" width="9.25" style="312" customWidth="1"/>
    <col min="16138" max="16138" width="9.625" style="312" customWidth="1"/>
    <col min="16139" max="16139" width="7.75" style="312" customWidth="1"/>
    <col min="16140" max="16140" width="8.375" style="312" customWidth="1"/>
    <col min="16141" max="16141" width="5.875" style="312" customWidth="1"/>
    <col min="16142" max="16142" width="8.875" style="312" customWidth="1"/>
    <col min="16143" max="16143" width="9.25" style="312" customWidth="1"/>
    <col min="16144" max="16144" width="11.125" style="312" customWidth="1"/>
    <col min="16145" max="16145" width="11.875" style="312" customWidth="1"/>
    <col min="16146" max="16146" width="8.75" style="312" customWidth="1"/>
    <col min="16147" max="16147" width="10.25" style="312" customWidth="1"/>
    <col min="16148" max="16148" width="7" style="312" customWidth="1"/>
    <col min="16149" max="16149" width="8" style="312" customWidth="1"/>
    <col min="16150" max="16150" width="7.875" style="312" customWidth="1"/>
    <col min="16151" max="16151" width="11.125" style="312" customWidth="1"/>
    <col min="16152" max="16152" width="10.125" style="312" customWidth="1"/>
    <col min="16153" max="16153" width="11.875" style="312" customWidth="1"/>
    <col min="16154" max="16154" width="11.75" style="312" customWidth="1"/>
    <col min="16155" max="16155" width="9.75" style="312" customWidth="1"/>
    <col min="16156" max="16156" width="10.375" style="312" customWidth="1"/>
    <col min="16157" max="16158" width="7" style="312" customWidth="1"/>
    <col min="16159" max="16159" width="8.125" style="312" customWidth="1"/>
    <col min="16160" max="16160" width="10" style="312" customWidth="1"/>
    <col min="16161" max="16161" width="9.375" style="312" customWidth="1"/>
    <col min="16162" max="16162" width="10.375" style="312" customWidth="1"/>
    <col min="16163" max="16163" width="10.75" style="312" customWidth="1"/>
    <col min="16164" max="16164" width="9.75" style="312" customWidth="1"/>
    <col min="16165" max="16165" width="10.75" style="312" customWidth="1"/>
    <col min="16166" max="16166" width="7" style="312" customWidth="1"/>
    <col min="16167" max="16168" width="8.25" style="312" customWidth="1"/>
    <col min="16169" max="16170" width="10" style="312" customWidth="1"/>
    <col min="16171" max="16172" width="10.75" style="312" customWidth="1"/>
    <col min="16173" max="16173" width="9.75" style="312" customWidth="1"/>
    <col min="16174" max="16174" width="7" style="312" customWidth="1"/>
    <col min="16175" max="16175" width="10.25" style="312" customWidth="1"/>
    <col min="16176" max="16178" width="7" style="312" customWidth="1"/>
    <col min="16179" max="16179" width="11.75" style="312" bestFit="1" customWidth="1"/>
    <col min="16180" max="16180" width="16.25" style="312" customWidth="1"/>
    <col min="16181" max="16181" width="7.125" style="312" bestFit="1" customWidth="1"/>
    <col min="16182" max="16183" width="9.125" style="312"/>
    <col min="16184" max="16184" width="7.125" style="312" bestFit="1" customWidth="1"/>
    <col min="16185" max="16187" width="9.125" style="312"/>
    <col min="16188" max="16190" width="9.75" style="312" bestFit="1" customWidth="1"/>
    <col min="16191" max="16191" width="8.375" style="312" bestFit="1" customWidth="1"/>
    <col min="16192" max="16199" width="9.75" style="312" bestFit="1" customWidth="1"/>
    <col min="16200" max="16384" width="9.125" style="312"/>
  </cols>
  <sheetData>
    <row r="1" spans="1:72" s="331" customFormat="1" ht="22.5" customHeight="1" thickBot="1">
      <c r="A1" s="2999" t="s">
        <v>461</v>
      </c>
      <c r="B1" s="2999"/>
      <c r="C1" s="2999"/>
      <c r="D1" s="2999"/>
      <c r="E1" s="2999"/>
      <c r="F1" s="2999"/>
      <c r="G1" s="2999"/>
      <c r="H1" s="2999"/>
      <c r="I1" s="2999"/>
      <c r="J1" s="2999" t="s">
        <v>462</v>
      </c>
      <c r="K1" s="2999"/>
      <c r="L1" s="2999"/>
      <c r="M1" s="2999"/>
      <c r="N1" s="2999"/>
      <c r="O1" s="2999"/>
      <c r="P1" s="2999"/>
      <c r="Q1" s="2999"/>
      <c r="R1" s="2999"/>
      <c r="S1" s="2999" t="s">
        <v>463</v>
      </c>
      <c r="T1" s="2999"/>
      <c r="U1" s="2999"/>
      <c r="V1" s="2999"/>
      <c r="W1" s="2999"/>
      <c r="X1" s="2999"/>
      <c r="Y1" s="2999"/>
      <c r="Z1" s="2999"/>
      <c r="AA1" s="2999"/>
      <c r="AB1" s="2999" t="s">
        <v>464</v>
      </c>
      <c r="AC1" s="2999"/>
      <c r="AD1" s="2999"/>
      <c r="AE1" s="2999"/>
      <c r="AF1" s="2999"/>
      <c r="AG1" s="2999"/>
      <c r="AH1" s="2999"/>
      <c r="AI1" s="2999"/>
      <c r="AJ1" s="2999"/>
      <c r="AK1" s="2999" t="s">
        <v>465</v>
      </c>
      <c r="AL1" s="2999"/>
      <c r="AM1" s="2999"/>
      <c r="AN1" s="2999"/>
      <c r="AO1" s="2999"/>
      <c r="AP1" s="2999"/>
      <c r="AQ1" s="2999"/>
      <c r="AR1" s="2999"/>
      <c r="AS1" s="2999"/>
    </row>
    <row r="2" spans="1:72" s="332" customFormat="1" ht="21" customHeight="1" thickBot="1">
      <c r="A2" s="3000" t="s">
        <v>1</v>
      </c>
      <c r="B2" s="3002" t="s">
        <v>466</v>
      </c>
      <c r="C2" s="3004" t="s">
        <v>467</v>
      </c>
      <c r="D2" s="3005"/>
      <c r="E2" s="3006" t="s">
        <v>468</v>
      </c>
      <c r="F2" s="3007"/>
      <c r="G2" s="3006" t="s">
        <v>469</v>
      </c>
      <c r="H2" s="3007"/>
      <c r="I2" s="3008" t="s">
        <v>470</v>
      </c>
      <c r="J2" s="3000" t="s">
        <v>1</v>
      </c>
      <c r="K2" s="3002" t="s">
        <v>466</v>
      </c>
      <c r="L2" s="3006" t="s">
        <v>467</v>
      </c>
      <c r="M2" s="3007"/>
      <c r="N2" s="3006" t="s">
        <v>468</v>
      </c>
      <c r="O2" s="3007"/>
      <c r="P2" s="3006" t="s">
        <v>469</v>
      </c>
      <c r="Q2" s="3007"/>
      <c r="R2" s="3008" t="s">
        <v>470</v>
      </c>
      <c r="S2" s="3000" t="s">
        <v>1</v>
      </c>
      <c r="T2" s="3002" t="s">
        <v>466</v>
      </c>
      <c r="U2" s="3010" t="s">
        <v>467</v>
      </c>
      <c r="V2" s="3011"/>
      <c r="W2" s="3006" t="s">
        <v>468</v>
      </c>
      <c r="X2" s="3007"/>
      <c r="Y2" s="3006" t="s">
        <v>469</v>
      </c>
      <c r="Z2" s="3007"/>
      <c r="AA2" s="3008" t="s">
        <v>470</v>
      </c>
      <c r="AB2" s="3000" t="s">
        <v>1</v>
      </c>
      <c r="AC2" s="3002" t="s">
        <v>466</v>
      </c>
      <c r="AD2" s="3010" t="s">
        <v>467</v>
      </c>
      <c r="AE2" s="3011"/>
      <c r="AF2" s="3006" t="s">
        <v>468</v>
      </c>
      <c r="AG2" s="3007"/>
      <c r="AH2" s="3006" t="s">
        <v>469</v>
      </c>
      <c r="AI2" s="3007"/>
      <c r="AJ2" s="3008" t="s">
        <v>470</v>
      </c>
      <c r="AK2" s="3000" t="s">
        <v>1</v>
      </c>
      <c r="AL2" s="3002" t="s">
        <v>466</v>
      </c>
      <c r="AM2" s="3010" t="s">
        <v>467</v>
      </c>
      <c r="AN2" s="3011"/>
      <c r="AO2" s="3006" t="s">
        <v>468</v>
      </c>
      <c r="AP2" s="3007"/>
      <c r="AQ2" s="3006" t="s">
        <v>469</v>
      </c>
      <c r="AR2" s="3007"/>
      <c r="AS2" s="3012" t="s">
        <v>470</v>
      </c>
    </row>
    <row r="3" spans="1:72" s="332" customFormat="1" ht="21" customHeight="1" thickBot="1">
      <c r="A3" s="3001"/>
      <c r="B3" s="3003"/>
      <c r="C3" s="333" t="s">
        <v>471</v>
      </c>
      <c r="D3" s="334" t="s">
        <v>472</v>
      </c>
      <c r="E3" s="335" t="s">
        <v>473</v>
      </c>
      <c r="F3" s="336" t="s">
        <v>474</v>
      </c>
      <c r="G3" s="337" t="s">
        <v>475</v>
      </c>
      <c r="H3" s="338" t="s">
        <v>476</v>
      </c>
      <c r="I3" s="3009"/>
      <c r="J3" s="3001"/>
      <c r="K3" s="3003"/>
      <c r="L3" s="333" t="s">
        <v>471</v>
      </c>
      <c r="M3" s="339" t="s">
        <v>472</v>
      </c>
      <c r="N3" s="337" t="s">
        <v>473</v>
      </c>
      <c r="O3" s="338" t="s">
        <v>474</v>
      </c>
      <c r="P3" s="337" t="s">
        <v>475</v>
      </c>
      <c r="Q3" s="338" t="s">
        <v>476</v>
      </c>
      <c r="R3" s="3009"/>
      <c r="S3" s="3001"/>
      <c r="T3" s="3003"/>
      <c r="U3" s="340" t="s">
        <v>471</v>
      </c>
      <c r="V3" s="338" t="s">
        <v>472</v>
      </c>
      <c r="W3" s="337" t="s">
        <v>473</v>
      </c>
      <c r="X3" s="338" t="s">
        <v>474</v>
      </c>
      <c r="Y3" s="337" t="s">
        <v>475</v>
      </c>
      <c r="Z3" s="338" t="s">
        <v>476</v>
      </c>
      <c r="AA3" s="3009"/>
      <c r="AB3" s="3001"/>
      <c r="AC3" s="3003"/>
      <c r="AD3" s="340" t="s">
        <v>471</v>
      </c>
      <c r="AE3" s="338" t="s">
        <v>472</v>
      </c>
      <c r="AF3" s="337" t="s">
        <v>473</v>
      </c>
      <c r="AG3" s="338" t="s">
        <v>474</v>
      </c>
      <c r="AH3" s="337" t="s">
        <v>475</v>
      </c>
      <c r="AI3" s="338" t="s">
        <v>476</v>
      </c>
      <c r="AJ3" s="3009"/>
      <c r="AK3" s="3001"/>
      <c r="AL3" s="3003"/>
      <c r="AM3" s="340" t="s">
        <v>471</v>
      </c>
      <c r="AN3" s="338" t="s">
        <v>472</v>
      </c>
      <c r="AO3" s="337" t="s">
        <v>473</v>
      </c>
      <c r="AP3" s="338" t="s">
        <v>474</v>
      </c>
      <c r="AQ3" s="337" t="s">
        <v>475</v>
      </c>
      <c r="AR3" s="338" t="s">
        <v>476</v>
      </c>
      <c r="AS3" s="3013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</row>
    <row r="4" spans="1:72" ht="22.5" customHeight="1">
      <c r="A4" s="92" t="s">
        <v>37</v>
      </c>
      <c r="B4" s="314">
        <f>K4+T4</f>
        <v>37865</v>
      </c>
      <c r="C4" s="314">
        <f>L4+U4</f>
        <v>533510</v>
      </c>
      <c r="D4" s="314">
        <f>M4+V4</f>
        <v>311080</v>
      </c>
      <c r="E4" s="314">
        <v>0</v>
      </c>
      <c r="F4" s="314">
        <v>0</v>
      </c>
      <c r="G4" s="314">
        <v>0</v>
      </c>
      <c r="H4" s="314">
        <v>0</v>
      </c>
      <c r="I4" s="314">
        <f>R4+AA4</f>
        <v>6184901.2000000002</v>
      </c>
      <c r="J4" s="92" t="s">
        <v>37</v>
      </c>
      <c r="K4" s="314">
        <v>17708</v>
      </c>
      <c r="L4" s="342">
        <v>160499</v>
      </c>
      <c r="M4" s="343">
        <v>0</v>
      </c>
      <c r="N4" s="342">
        <v>0</v>
      </c>
      <c r="O4" s="344">
        <v>0</v>
      </c>
      <c r="P4" s="342">
        <v>0</v>
      </c>
      <c r="Q4" s="344">
        <v>0</v>
      </c>
      <c r="R4" s="314">
        <v>3912959</v>
      </c>
      <c r="S4" s="92" t="s">
        <v>37</v>
      </c>
      <c r="T4" s="314">
        <v>20157</v>
      </c>
      <c r="U4" s="342">
        <v>373011</v>
      </c>
      <c r="V4" s="344">
        <v>311080</v>
      </c>
      <c r="W4" s="342">
        <v>23045765.5</v>
      </c>
      <c r="X4" s="344">
        <v>39356937</v>
      </c>
      <c r="Y4" s="342">
        <v>2548202615.0099916</v>
      </c>
      <c r="Z4" s="344">
        <v>4366164104.2300053</v>
      </c>
      <c r="AA4" s="314">
        <v>2271942.2000000002</v>
      </c>
      <c r="AB4" s="92" t="s">
        <v>37</v>
      </c>
      <c r="AC4" s="314">
        <v>0</v>
      </c>
      <c r="AD4" s="342">
        <v>0</v>
      </c>
      <c r="AE4" s="344">
        <v>0</v>
      </c>
      <c r="AF4" s="342">
        <v>0</v>
      </c>
      <c r="AG4" s="344">
        <v>0</v>
      </c>
      <c r="AH4" s="342">
        <v>0</v>
      </c>
      <c r="AI4" s="344">
        <v>0</v>
      </c>
      <c r="AJ4" s="314">
        <v>0</v>
      </c>
      <c r="AK4" s="92" t="s">
        <v>37</v>
      </c>
      <c r="AL4" s="314">
        <v>0</v>
      </c>
      <c r="AM4" s="342">
        <v>0</v>
      </c>
      <c r="AN4" s="344">
        <v>0</v>
      </c>
      <c r="AO4" s="342">
        <v>0</v>
      </c>
      <c r="AP4" s="344">
        <v>0</v>
      </c>
      <c r="AQ4" s="342">
        <v>0</v>
      </c>
      <c r="AR4" s="344">
        <v>0</v>
      </c>
      <c r="AS4" s="314">
        <v>0</v>
      </c>
      <c r="AT4" s="345"/>
      <c r="AU4" s="346"/>
      <c r="AV4" s="345"/>
      <c r="AW4" s="347"/>
      <c r="AX4" s="347"/>
      <c r="AY4" s="347"/>
      <c r="AZ4" s="347"/>
      <c r="BA4" s="341"/>
      <c r="BB4" s="347"/>
      <c r="BC4" s="347"/>
      <c r="BD4" s="345"/>
      <c r="BE4" s="345"/>
      <c r="BF4" s="345"/>
      <c r="BG4" s="345"/>
      <c r="BH4" s="345"/>
      <c r="BI4" s="345"/>
      <c r="BJ4" s="345"/>
      <c r="BK4" s="348"/>
      <c r="BL4" s="345"/>
      <c r="BM4" s="345"/>
      <c r="BN4" s="345"/>
      <c r="BO4" s="313"/>
      <c r="BP4" s="313"/>
      <c r="BQ4" s="313"/>
      <c r="BR4" s="313"/>
      <c r="BS4" s="313"/>
      <c r="BT4" s="313"/>
    </row>
    <row r="5" spans="1:72" ht="22.5" customHeight="1">
      <c r="A5" s="92" t="s">
        <v>38</v>
      </c>
      <c r="B5" s="314">
        <f t="shared" ref="B5:D15" si="0">K5+T5</f>
        <v>47692</v>
      </c>
      <c r="C5" s="314">
        <f t="shared" si="0"/>
        <v>659954</v>
      </c>
      <c r="D5" s="314">
        <f t="shared" si="0"/>
        <v>349943</v>
      </c>
      <c r="E5" s="314">
        <v>0</v>
      </c>
      <c r="F5" s="314">
        <v>0</v>
      </c>
      <c r="G5" s="314">
        <v>0</v>
      </c>
      <c r="H5" s="314">
        <v>0</v>
      </c>
      <c r="I5" s="314">
        <f t="shared" ref="I5:I15" si="1">R5+AA5</f>
        <v>6084846.0999999996</v>
      </c>
      <c r="J5" s="92" t="s">
        <v>38</v>
      </c>
      <c r="K5" s="314">
        <v>21503</v>
      </c>
      <c r="L5" s="342">
        <v>200825</v>
      </c>
      <c r="M5" s="343">
        <v>0</v>
      </c>
      <c r="N5" s="342">
        <v>0</v>
      </c>
      <c r="O5" s="343">
        <v>0</v>
      </c>
      <c r="P5" s="342">
        <v>0</v>
      </c>
      <c r="Q5" s="343">
        <v>0</v>
      </c>
      <c r="R5" s="314">
        <v>3739182.5</v>
      </c>
      <c r="S5" s="92" t="s">
        <v>38</v>
      </c>
      <c r="T5" s="314">
        <v>26189</v>
      </c>
      <c r="U5" s="342">
        <v>459129</v>
      </c>
      <c r="V5" s="343">
        <v>349943</v>
      </c>
      <c r="W5" s="342">
        <v>29217431.800000001</v>
      </c>
      <c r="X5" s="343">
        <v>49977302.399999991</v>
      </c>
      <c r="Y5" s="342">
        <v>2692218437.4599996</v>
      </c>
      <c r="Z5" s="343">
        <v>4595155986.9599991</v>
      </c>
      <c r="AA5" s="314">
        <v>2345663.6</v>
      </c>
      <c r="AB5" s="92" t="s">
        <v>38</v>
      </c>
      <c r="AC5" s="314">
        <v>0</v>
      </c>
      <c r="AD5" s="342">
        <v>0</v>
      </c>
      <c r="AE5" s="343">
        <v>0</v>
      </c>
      <c r="AF5" s="342">
        <v>0</v>
      </c>
      <c r="AG5" s="343">
        <v>0</v>
      </c>
      <c r="AH5" s="342">
        <v>0</v>
      </c>
      <c r="AI5" s="343">
        <v>0</v>
      </c>
      <c r="AJ5" s="314">
        <v>0</v>
      </c>
      <c r="AK5" s="92" t="s">
        <v>38</v>
      </c>
      <c r="AL5" s="314">
        <v>0</v>
      </c>
      <c r="AM5" s="342">
        <v>0</v>
      </c>
      <c r="AN5" s="343">
        <v>0</v>
      </c>
      <c r="AO5" s="342">
        <v>0</v>
      </c>
      <c r="AP5" s="343">
        <v>0</v>
      </c>
      <c r="AQ5" s="342">
        <v>0</v>
      </c>
      <c r="AR5" s="343">
        <v>0</v>
      </c>
      <c r="AS5" s="314">
        <v>0</v>
      </c>
      <c r="AT5" s="345"/>
      <c r="AU5" s="346"/>
      <c r="AV5" s="345"/>
      <c r="AW5" s="347"/>
      <c r="AX5" s="347"/>
      <c r="AY5" s="347"/>
      <c r="AZ5" s="347"/>
      <c r="BA5" s="341"/>
      <c r="BB5" s="347"/>
      <c r="BC5" s="347"/>
      <c r="BD5" s="345"/>
      <c r="BE5" s="345"/>
      <c r="BF5" s="345"/>
      <c r="BG5" s="345"/>
      <c r="BH5" s="345"/>
      <c r="BI5" s="345"/>
      <c r="BJ5" s="345"/>
      <c r="BK5" s="348"/>
      <c r="BL5" s="345"/>
      <c r="BM5" s="345"/>
      <c r="BN5" s="345"/>
      <c r="BO5" s="313">
        <v>32131061</v>
      </c>
      <c r="BP5" s="313">
        <v>32338546</v>
      </c>
      <c r="BQ5" s="313">
        <v>29622542</v>
      </c>
      <c r="BR5" s="313">
        <v>28973648</v>
      </c>
      <c r="BS5" s="313">
        <v>29342529</v>
      </c>
      <c r="BT5" s="313"/>
    </row>
    <row r="6" spans="1:72" ht="22.5" customHeight="1">
      <c r="A6" s="92" t="s">
        <v>39</v>
      </c>
      <c r="B6" s="314">
        <f t="shared" si="0"/>
        <v>38752</v>
      </c>
      <c r="C6" s="314">
        <f t="shared" si="0"/>
        <v>555086</v>
      </c>
      <c r="D6" s="314">
        <f t="shared" si="0"/>
        <v>320648</v>
      </c>
      <c r="E6" s="314">
        <v>0</v>
      </c>
      <c r="F6" s="314">
        <v>0</v>
      </c>
      <c r="G6" s="314">
        <v>0</v>
      </c>
      <c r="H6" s="314">
        <v>0</v>
      </c>
      <c r="I6" s="314">
        <f t="shared" si="1"/>
        <v>5942165.2999999998</v>
      </c>
      <c r="J6" s="92" t="s">
        <v>39</v>
      </c>
      <c r="K6" s="314">
        <v>17410</v>
      </c>
      <c r="L6" s="342">
        <v>153104</v>
      </c>
      <c r="M6" s="343">
        <v>0</v>
      </c>
      <c r="N6" s="342">
        <v>0</v>
      </c>
      <c r="O6" s="343">
        <v>0</v>
      </c>
      <c r="P6" s="342">
        <v>0</v>
      </c>
      <c r="Q6" s="343">
        <v>0</v>
      </c>
      <c r="R6" s="314">
        <v>3722326</v>
      </c>
      <c r="S6" s="92" t="s">
        <v>39</v>
      </c>
      <c r="T6" s="314">
        <v>21342</v>
      </c>
      <c r="U6" s="342">
        <v>401982</v>
      </c>
      <c r="V6" s="343">
        <v>320648</v>
      </c>
      <c r="W6" s="342">
        <v>24126978.600000001</v>
      </c>
      <c r="X6" s="343">
        <v>41036076.400000006</v>
      </c>
      <c r="Y6" s="342">
        <v>2536210546.7799931</v>
      </c>
      <c r="Z6" s="343">
        <v>4340538944.4399891</v>
      </c>
      <c r="AA6" s="314">
        <v>2219839.2999999998</v>
      </c>
      <c r="AB6" s="92" t="s">
        <v>39</v>
      </c>
      <c r="AC6" s="314">
        <v>0</v>
      </c>
      <c r="AD6" s="342">
        <v>0</v>
      </c>
      <c r="AE6" s="343">
        <v>0</v>
      </c>
      <c r="AF6" s="342">
        <v>0</v>
      </c>
      <c r="AG6" s="343">
        <v>0</v>
      </c>
      <c r="AH6" s="342">
        <v>0</v>
      </c>
      <c r="AI6" s="343">
        <v>0</v>
      </c>
      <c r="AJ6" s="314">
        <v>0</v>
      </c>
      <c r="AK6" s="92" t="s">
        <v>39</v>
      </c>
      <c r="AL6" s="314">
        <v>0</v>
      </c>
      <c r="AM6" s="342">
        <v>0</v>
      </c>
      <c r="AN6" s="343">
        <v>0</v>
      </c>
      <c r="AO6" s="342">
        <v>0</v>
      </c>
      <c r="AP6" s="343">
        <v>0</v>
      </c>
      <c r="AQ6" s="342">
        <v>0</v>
      </c>
      <c r="AR6" s="343">
        <v>0</v>
      </c>
      <c r="AS6" s="314">
        <v>0</v>
      </c>
      <c r="AT6" s="345"/>
      <c r="AU6" s="346"/>
      <c r="AV6" s="345"/>
      <c r="AW6" s="347"/>
      <c r="AX6" s="347"/>
      <c r="AY6" s="347"/>
      <c r="AZ6" s="347"/>
      <c r="BA6" s="341"/>
      <c r="BB6" s="347"/>
      <c r="BC6" s="347"/>
      <c r="BD6" s="345"/>
      <c r="BE6" s="345"/>
      <c r="BF6" s="345"/>
      <c r="BG6" s="345"/>
      <c r="BH6" s="345"/>
      <c r="BI6" s="345"/>
      <c r="BJ6" s="345"/>
      <c r="BK6" s="345"/>
      <c r="BL6" s="345"/>
      <c r="BM6" s="345"/>
      <c r="BN6" s="345"/>
      <c r="BO6" s="313">
        <f>+BO5/1000</f>
        <v>32131.061000000002</v>
      </c>
      <c r="BP6" s="313">
        <f>+BP5/1000</f>
        <v>32338.545999999998</v>
      </c>
      <c r="BQ6" s="313">
        <f>+BQ5/1000</f>
        <v>29622.542000000001</v>
      </c>
      <c r="BR6" s="313">
        <f>+BR5/1000</f>
        <v>28973.648000000001</v>
      </c>
      <c r="BS6" s="313">
        <f>+BS5/1000</f>
        <v>29342.528999999999</v>
      </c>
      <c r="BT6" s="313"/>
    </row>
    <row r="7" spans="1:72" ht="22.5" customHeight="1">
      <c r="A7" s="92" t="s">
        <v>40</v>
      </c>
      <c r="B7" s="314">
        <f t="shared" si="0"/>
        <v>35776</v>
      </c>
      <c r="C7" s="314">
        <f t="shared" si="0"/>
        <v>500677</v>
      </c>
      <c r="D7" s="314">
        <f t="shared" si="0"/>
        <v>288347</v>
      </c>
      <c r="E7" s="314">
        <v>0</v>
      </c>
      <c r="F7" s="314">
        <v>0</v>
      </c>
      <c r="G7" s="314">
        <v>0</v>
      </c>
      <c r="H7" s="314">
        <v>0</v>
      </c>
      <c r="I7" s="314">
        <f t="shared" si="1"/>
        <v>5564184.5999999996</v>
      </c>
      <c r="J7" s="92" t="s">
        <v>40</v>
      </c>
      <c r="K7" s="314">
        <v>16056</v>
      </c>
      <c r="L7" s="342">
        <v>143996</v>
      </c>
      <c r="M7" s="343">
        <v>0</v>
      </c>
      <c r="N7" s="342">
        <v>0</v>
      </c>
      <c r="O7" s="343">
        <v>0</v>
      </c>
      <c r="P7" s="342">
        <v>0</v>
      </c>
      <c r="Q7" s="343">
        <v>0</v>
      </c>
      <c r="R7" s="314">
        <v>3477778</v>
      </c>
      <c r="S7" s="92" t="s">
        <v>40</v>
      </c>
      <c r="T7" s="314">
        <v>19720</v>
      </c>
      <c r="U7" s="342">
        <v>356681</v>
      </c>
      <c r="V7" s="343">
        <v>288347</v>
      </c>
      <c r="W7" s="342">
        <v>21893534.499999996</v>
      </c>
      <c r="X7" s="343">
        <v>37214034.299999997</v>
      </c>
      <c r="Y7" s="342">
        <v>2323144418.8799992</v>
      </c>
      <c r="Z7" s="343">
        <v>3988709489.4999814</v>
      </c>
      <c r="AA7" s="314">
        <v>2086406.6</v>
      </c>
      <c r="AB7" s="92" t="s">
        <v>40</v>
      </c>
      <c r="AC7" s="314">
        <v>0</v>
      </c>
      <c r="AD7" s="342">
        <v>0</v>
      </c>
      <c r="AE7" s="343">
        <v>0</v>
      </c>
      <c r="AF7" s="342">
        <v>0</v>
      </c>
      <c r="AG7" s="343">
        <v>0</v>
      </c>
      <c r="AH7" s="342">
        <v>0</v>
      </c>
      <c r="AI7" s="343">
        <v>0</v>
      </c>
      <c r="AJ7" s="314">
        <v>0</v>
      </c>
      <c r="AK7" s="92" t="s">
        <v>40</v>
      </c>
      <c r="AL7" s="314">
        <v>0</v>
      </c>
      <c r="AM7" s="342">
        <v>0</v>
      </c>
      <c r="AN7" s="343">
        <v>0</v>
      </c>
      <c r="AO7" s="342">
        <v>0</v>
      </c>
      <c r="AP7" s="343">
        <v>0</v>
      </c>
      <c r="AQ7" s="342">
        <v>0</v>
      </c>
      <c r="AR7" s="343">
        <v>0</v>
      </c>
      <c r="AS7" s="314">
        <v>0</v>
      </c>
      <c r="AT7" s="345"/>
      <c r="AU7" s="346"/>
      <c r="AV7" s="345"/>
      <c r="AW7" s="347"/>
      <c r="AX7" s="347"/>
      <c r="AY7" s="347"/>
      <c r="AZ7" s="347"/>
      <c r="BA7" s="341"/>
      <c r="BB7" s="347"/>
      <c r="BC7" s="347"/>
      <c r="BD7" s="345"/>
      <c r="BE7" s="345"/>
      <c r="BF7" s="345"/>
      <c r="BG7" s="345"/>
      <c r="BH7" s="345"/>
      <c r="BI7" s="345"/>
      <c r="BJ7" s="345"/>
      <c r="BK7" s="348"/>
      <c r="BL7" s="345"/>
      <c r="BM7" s="345"/>
      <c r="BN7" s="345"/>
      <c r="BO7" s="313"/>
      <c r="BP7" s="313"/>
      <c r="BQ7" s="313"/>
      <c r="BR7" s="313"/>
      <c r="BS7" s="313"/>
      <c r="BT7" s="313"/>
    </row>
    <row r="8" spans="1:72" ht="22.5" customHeight="1">
      <c r="A8" s="92" t="s">
        <v>41</v>
      </c>
      <c r="B8" s="314">
        <f t="shared" si="0"/>
        <v>35854</v>
      </c>
      <c r="C8" s="314">
        <f t="shared" si="0"/>
        <v>503056</v>
      </c>
      <c r="D8" s="314">
        <f t="shared" si="0"/>
        <v>302592</v>
      </c>
      <c r="E8" s="314">
        <v>0</v>
      </c>
      <c r="F8" s="314">
        <v>0</v>
      </c>
      <c r="G8" s="314">
        <v>0</v>
      </c>
      <c r="H8" s="314">
        <v>0</v>
      </c>
      <c r="I8" s="314">
        <f t="shared" si="1"/>
        <v>5625732.7999999998</v>
      </c>
      <c r="J8" s="92" t="s">
        <v>41</v>
      </c>
      <c r="K8" s="314">
        <v>15723</v>
      </c>
      <c r="L8" s="342">
        <v>144277</v>
      </c>
      <c r="M8" s="343">
        <v>0</v>
      </c>
      <c r="N8" s="342">
        <v>0</v>
      </c>
      <c r="O8" s="343">
        <v>0</v>
      </c>
      <c r="P8" s="342">
        <v>0</v>
      </c>
      <c r="Q8" s="343">
        <v>0</v>
      </c>
      <c r="R8" s="314">
        <v>3489218</v>
      </c>
      <c r="S8" s="92" t="s">
        <v>41</v>
      </c>
      <c r="T8" s="314">
        <v>20131</v>
      </c>
      <c r="U8" s="342">
        <v>358779</v>
      </c>
      <c r="V8" s="343">
        <v>302592</v>
      </c>
      <c r="W8" s="342">
        <v>22294719.25</v>
      </c>
      <c r="X8" s="343">
        <v>37932853.850000001</v>
      </c>
      <c r="Y8" s="342">
        <v>2394185226.7799959</v>
      </c>
      <c r="Z8" s="343">
        <v>4094728092.1899934</v>
      </c>
      <c r="AA8" s="314">
        <v>2136514.7999999998</v>
      </c>
      <c r="AB8" s="92" t="s">
        <v>41</v>
      </c>
      <c r="AC8" s="314">
        <v>0</v>
      </c>
      <c r="AD8" s="342">
        <v>0</v>
      </c>
      <c r="AE8" s="343">
        <v>0</v>
      </c>
      <c r="AF8" s="342">
        <v>0</v>
      </c>
      <c r="AG8" s="343">
        <v>0</v>
      </c>
      <c r="AH8" s="342">
        <v>0</v>
      </c>
      <c r="AI8" s="343">
        <v>0</v>
      </c>
      <c r="AJ8" s="314">
        <v>0</v>
      </c>
      <c r="AK8" s="92" t="s">
        <v>41</v>
      </c>
      <c r="AL8" s="314">
        <v>0</v>
      </c>
      <c r="AM8" s="342">
        <v>0</v>
      </c>
      <c r="AN8" s="343">
        <v>0</v>
      </c>
      <c r="AO8" s="342">
        <v>0</v>
      </c>
      <c r="AP8" s="343">
        <v>0</v>
      </c>
      <c r="AQ8" s="342">
        <v>0</v>
      </c>
      <c r="AR8" s="343">
        <v>0</v>
      </c>
      <c r="AS8" s="314">
        <v>0</v>
      </c>
      <c r="AT8" s="345"/>
      <c r="AU8" s="346"/>
      <c r="AV8" s="345"/>
      <c r="AW8" s="347"/>
      <c r="AX8" s="347"/>
      <c r="AY8" s="347"/>
      <c r="AZ8" s="347"/>
      <c r="BA8" s="341"/>
      <c r="BB8" s="347"/>
      <c r="BC8" s="347"/>
      <c r="BD8" s="345"/>
      <c r="BE8" s="345"/>
      <c r="BF8" s="345"/>
      <c r="BG8" s="345"/>
      <c r="BH8" s="345"/>
      <c r="BI8" s="345"/>
      <c r="BJ8" s="345"/>
      <c r="BK8" s="348"/>
      <c r="BL8" s="345"/>
      <c r="BM8" s="345"/>
      <c r="BN8" s="345"/>
      <c r="BO8" s="313"/>
      <c r="BP8" s="313"/>
      <c r="BQ8" s="313"/>
      <c r="BR8" s="313"/>
      <c r="BS8" s="313"/>
      <c r="BT8" s="313"/>
    </row>
    <row r="9" spans="1:72" ht="22.5" customHeight="1">
      <c r="A9" s="92" t="s">
        <v>42</v>
      </c>
      <c r="B9" s="314">
        <f t="shared" si="0"/>
        <v>37667</v>
      </c>
      <c r="C9" s="314">
        <f t="shared" si="0"/>
        <v>497926</v>
      </c>
      <c r="D9" s="314">
        <f t="shared" si="0"/>
        <v>284023</v>
      </c>
      <c r="E9" s="314">
        <v>0</v>
      </c>
      <c r="F9" s="314">
        <v>0</v>
      </c>
      <c r="G9" s="314">
        <v>0</v>
      </c>
      <c r="H9" s="314">
        <v>0</v>
      </c>
      <c r="I9" s="314">
        <f t="shared" si="1"/>
        <v>5954847.4000000004</v>
      </c>
      <c r="J9" s="92" t="s">
        <v>42</v>
      </c>
      <c r="K9" s="314">
        <v>18247</v>
      </c>
      <c r="L9" s="342">
        <v>162783</v>
      </c>
      <c r="M9" s="343">
        <v>0</v>
      </c>
      <c r="N9" s="342">
        <v>0</v>
      </c>
      <c r="O9" s="343">
        <v>0</v>
      </c>
      <c r="P9" s="342">
        <v>0</v>
      </c>
      <c r="Q9" s="343">
        <v>0</v>
      </c>
      <c r="R9" s="314">
        <v>3832386</v>
      </c>
      <c r="S9" s="92" t="s">
        <v>42</v>
      </c>
      <c r="T9" s="314">
        <v>19420</v>
      </c>
      <c r="U9" s="342">
        <v>335143</v>
      </c>
      <c r="V9" s="343">
        <v>284023</v>
      </c>
      <c r="W9" s="342">
        <v>20727280.500000004</v>
      </c>
      <c r="X9" s="343">
        <v>35451607.999999993</v>
      </c>
      <c r="Y9" s="342">
        <v>2329110668.6999974</v>
      </c>
      <c r="Z9" s="343">
        <v>4008721528.309999</v>
      </c>
      <c r="AA9" s="314">
        <v>2122461.4</v>
      </c>
      <c r="AB9" s="92" t="s">
        <v>42</v>
      </c>
      <c r="AC9" s="314">
        <v>0</v>
      </c>
      <c r="AD9" s="342">
        <v>0</v>
      </c>
      <c r="AE9" s="343">
        <v>0</v>
      </c>
      <c r="AF9" s="342">
        <v>0</v>
      </c>
      <c r="AG9" s="343">
        <v>0</v>
      </c>
      <c r="AH9" s="342">
        <v>0</v>
      </c>
      <c r="AI9" s="343">
        <v>0</v>
      </c>
      <c r="AJ9" s="314">
        <v>0</v>
      </c>
      <c r="AK9" s="92" t="s">
        <v>42</v>
      </c>
      <c r="AL9" s="314">
        <v>0</v>
      </c>
      <c r="AM9" s="342">
        <v>0</v>
      </c>
      <c r="AN9" s="343">
        <v>0</v>
      </c>
      <c r="AO9" s="342">
        <v>0</v>
      </c>
      <c r="AP9" s="343">
        <v>0</v>
      </c>
      <c r="AQ9" s="342">
        <v>0</v>
      </c>
      <c r="AR9" s="343">
        <v>0</v>
      </c>
      <c r="AS9" s="314">
        <v>0</v>
      </c>
      <c r="AT9" s="345"/>
      <c r="AU9" s="346"/>
      <c r="AV9" s="345"/>
      <c r="AW9" s="347"/>
      <c r="AX9" s="347"/>
      <c r="AY9" s="347"/>
      <c r="AZ9" s="347"/>
      <c r="BA9" s="341"/>
      <c r="BB9" s="347"/>
      <c r="BC9" s="347"/>
      <c r="BD9" s="345"/>
      <c r="BE9" s="345"/>
      <c r="BF9" s="345"/>
      <c r="BG9" s="345"/>
      <c r="BH9" s="345"/>
      <c r="BI9" s="345"/>
      <c r="BJ9" s="345"/>
      <c r="BK9" s="348"/>
      <c r="BL9" s="345"/>
      <c r="BM9" s="345"/>
      <c r="BN9" s="345"/>
      <c r="BO9" s="313">
        <v>5146520118</v>
      </c>
      <c r="BP9" s="313">
        <v>5129363968</v>
      </c>
      <c r="BQ9" s="313">
        <v>4966350994</v>
      </c>
      <c r="BR9" s="313">
        <v>4826424675</v>
      </c>
      <c r="BS9" s="313">
        <v>4829215445</v>
      </c>
      <c r="BT9" s="313"/>
    </row>
    <row r="10" spans="1:72" ht="22.5" customHeight="1">
      <c r="A10" s="92" t="s">
        <v>43</v>
      </c>
      <c r="B10" s="314">
        <f t="shared" si="0"/>
        <v>36560</v>
      </c>
      <c r="C10" s="314">
        <f t="shared" si="0"/>
        <v>502977</v>
      </c>
      <c r="D10" s="314">
        <f t="shared" si="0"/>
        <v>306366</v>
      </c>
      <c r="E10" s="314">
        <v>0</v>
      </c>
      <c r="F10" s="314">
        <v>0</v>
      </c>
      <c r="G10" s="314">
        <v>0</v>
      </c>
      <c r="H10" s="314">
        <v>0</v>
      </c>
      <c r="I10" s="314">
        <f t="shared" si="1"/>
        <v>5780336.9000000004</v>
      </c>
      <c r="J10" s="92" t="s">
        <v>43</v>
      </c>
      <c r="K10" s="314">
        <v>16525</v>
      </c>
      <c r="L10" s="342">
        <v>149239</v>
      </c>
      <c r="M10" s="343">
        <v>0</v>
      </c>
      <c r="N10" s="342">
        <v>0</v>
      </c>
      <c r="O10" s="343">
        <v>0</v>
      </c>
      <c r="P10" s="342">
        <v>0</v>
      </c>
      <c r="Q10" s="343">
        <v>0</v>
      </c>
      <c r="R10" s="314">
        <v>3554099</v>
      </c>
      <c r="S10" s="92" t="s">
        <v>43</v>
      </c>
      <c r="T10" s="314">
        <v>20035</v>
      </c>
      <c r="U10" s="342">
        <v>353738</v>
      </c>
      <c r="V10" s="343">
        <v>306366</v>
      </c>
      <c r="W10" s="342">
        <v>21741463.000000004</v>
      </c>
      <c r="X10" s="343">
        <v>37385171.300000004</v>
      </c>
      <c r="Y10" s="342">
        <v>2492356848.1299973</v>
      </c>
      <c r="Z10" s="343">
        <v>4280606823.6100001</v>
      </c>
      <c r="AA10" s="314">
        <v>2226237.9</v>
      </c>
      <c r="AB10" s="92" t="s">
        <v>43</v>
      </c>
      <c r="AC10" s="314">
        <v>0</v>
      </c>
      <c r="AD10" s="342">
        <v>0</v>
      </c>
      <c r="AE10" s="343">
        <v>0</v>
      </c>
      <c r="AF10" s="342">
        <v>0</v>
      </c>
      <c r="AG10" s="343">
        <v>0</v>
      </c>
      <c r="AH10" s="342">
        <v>0</v>
      </c>
      <c r="AI10" s="343">
        <v>0</v>
      </c>
      <c r="AJ10" s="314">
        <v>0</v>
      </c>
      <c r="AK10" s="92" t="s">
        <v>43</v>
      </c>
      <c r="AL10" s="314">
        <v>0</v>
      </c>
      <c r="AM10" s="342">
        <v>0</v>
      </c>
      <c r="AN10" s="343">
        <v>0</v>
      </c>
      <c r="AO10" s="342">
        <v>0</v>
      </c>
      <c r="AP10" s="343">
        <v>0</v>
      </c>
      <c r="AQ10" s="342">
        <v>0</v>
      </c>
      <c r="AR10" s="343">
        <v>0</v>
      </c>
      <c r="AS10" s="314">
        <v>0</v>
      </c>
      <c r="AT10" s="345"/>
      <c r="AU10" s="346"/>
      <c r="AV10" s="345"/>
      <c r="AW10" s="347"/>
      <c r="AX10" s="347"/>
      <c r="AY10" s="347"/>
      <c r="AZ10" s="347"/>
      <c r="BA10" s="341"/>
      <c r="BB10" s="347"/>
      <c r="BC10" s="347"/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13">
        <f>+BO9/1000000</f>
        <v>5146.5201180000004</v>
      </c>
      <c r="BP10" s="313">
        <f>+BP9/1000000</f>
        <v>5129.3639679999997</v>
      </c>
      <c r="BQ10" s="313">
        <f>+BQ9/1000000</f>
        <v>4966.3509940000004</v>
      </c>
      <c r="BR10" s="313">
        <f>+BR9/1000000</f>
        <v>4826.4246750000002</v>
      </c>
      <c r="BS10" s="313">
        <f>+BS9/1000000</f>
        <v>4829.2154449999998</v>
      </c>
      <c r="BT10" s="313"/>
    </row>
    <row r="11" spans="1:72" ht="22.5" customHeight="1">
      <c r="A11" s="92" t="s">
        <v>405</v>
      </c>
      <c r="B11" s="314">
        <f t="shared" si="0"/>
        <v>36615</v>
      </c>
      <c r="C11" s="314">
        <f t="shared" si="0"/>
        <v>500309</v>
      </c>
      <c r="D11" s="314">
        <f t="shared" si="0"/>
        <v>293314</v>
      </c>
      <c r="E11" s="314">
        <v>0</v>
      </c>
      <c r="F11" s="314">
        <v>0</v>
      </c>
      <c r="G11" s="314">
        <v>0</v>
      </c>
      <c r="H11" s="314">
        <v>0</v>
      </c>
      <c r="I11" s="314">
        <f t="shared" si="1"/>
        <v>5794542.5</v>
      </c>
      <c r="J11" s="92" t="s">
        <v>405</v>
      </c>
      <c r="K11" s="314">
        <v>16833</v>
      </c>
      <c r="L11" s="342">
        <v>148436</v>
      </c>
      <c r="M11" s="343">
        <v>0</v>
      </c>
      <c r="N11" s="342">
        <v>0</v>
      </c>
      <c r="O11" s="343">
        <v>0</v>
      </c>
      <c r="P11" s="342">
        <v>0</v>
      </c>
      <c r="Q11" s="343">
        <v>0</v>
      </c>
      <c r="R11" s="314">
        <v>3591473</v>
      </c>
      <c r="S11" s="92" t="s">
        <v>405</v>
      </c>
      <c r="T11" s="314">
        <v>19782</v>
      </c>
      <c r="U11" s="342">
        <v>351873</v>
      </c>
      <c r="V11" s="343">
        <v>293314</v>
      </c>
      <c r="W11" s="342">
        <v>21598842.900000006</v>
      </c>
      <c r="X11" s="343">
        <v>36879185.000000007</v>
      </c>
      <c r="Y11" s="342">
        <v>2507477028.1899939</v>
      </c>
      <c r="Z11" s="343">
        <v>4272170809.3100047</v>
      </c>
      <c r="AA11" s="314">
        <v>2203069.5</v>
      </c>
      <c r="AB11" s="92" t="s">
        <v>405</v>
      </c>
      <c r="AC11" s="314">
        <v>0</v>
      </c>
      <c r="AD11" s="342">
        <v>0</v>
      </c>
      <c r="AE11" s="343">
        <v>0</v>
      </c>
      <c r="AF11" s="342">
        <v>0</v>
      </c>
      <c r="AG11" s="343">
        <v>0</v>
      </c>
      <c r="AH11" s="342">
        <v>0</v>
      </c>
      <c r="AI11" s="343">
        <v>0</v>
      </c>
      <c r="AJ11" s="314">
        <v>0</v>
      </c>
      <c r="AK11" s="92" t="s">
        <v>405</v>
      </c>
      <c r="AL11" s="314">
        <v>0</v>
      </c>
      <c r="AM11" s="342">
        <v>0</v>
      </c>
      <c r="AN11" s="343">
        <v>0</v>
      </c>
      <c r="AO11" s="342">
        <v>0</v>
      </c>
      <c r="AP11" s="343">
        <v>0</v>
      </c>
      <c r="AQ11" s="342">
        <v>0</v>
      </c>
      <c r="AR11" s="343">
        <v>0</v>
      </c>
      <c r="AS11" s="314">
        <v>0</v>
      </c>
      <c r="AT11" s="345"/>
      <c r="AU11" s="346"/>
      <c r="AV11" s="345"/>
      <c r="AW11" s="347"/>
      <c r="AX11" s="347"/>
      <c r="AY11" s="347"/>
      <c r="AZ11" s="347"/>
      <c r="BA11" s="341"/>
      <c r="BB11" s="347"/>
      <c r="BC11" s="347"/>
      <c r="BD11" s="345"/>
      <c r="BE11" s="345"/>
      <c r="BF11" s="345"/>
      <c r="BG11" s="345"/>
      <c r="BH11" s="345"/>
      <c r="BI11" s="345"/>
      <c r="BJ11" s="345"/>
      <c r="BK11" s="348"/>
      <c r="BL11" s="345"/>
      <c r="BM11" s="345"/>
      <c r="BN11" s="345"/>
      <c r="BO11" s="313"/>
      <c r="BP11" s="313"/>
      <c r="BQ11" s="313"/>
      <c r="BR11" s="313"/>
      <c r="BS11" s="313"/>
      <c r="BT11" s="313"/>
    </row>
    <row r="12" spans="1:72" ht="22.5" customHeight="1">
      <c r="A12" s="92" t="s">
        <v>45</v>
      </c>
      <c r="B12" s="314">
        <f t="shared" si="0"/>
        <v>34415</v>
      </c>
      <c r="C12" s="314">
        <f t="shared" si="0"/>
        <v>462563</v>
      </c>
      <c r="D12" s="314">
        <f t="shared" si="0"/>
        <v>266834</v>
      </c>
      <c r="E12" s="314">
        <v>0</v>
      </c>
      <c r="F12" s="314">
        <v>0</v>
      </c>
      <c r="G12" s="314">
        <v>0</v>
      </c>
      <c r="H12" s="314">
        <v>0</v>
      </c>
      <c r="I12" s="314">
        <f t="shared" si="1"/>
        <v>5624177</v>
      </c>
      <c r="J12" s="92" t="s">
        <v>45</v>
      </c>
      <c r="K12" s="314">
        <v>15868</v>
      </c>
      <c r="L12" s="342">
        <v>142502</v>
      </c>
      <c r="M12" s="343">
        <v>0</v>
      </c>
      <c r="N12" s="342">
        <v>0</v>
      </c>
      <c r="O12" s="343">
        <v>0</v>
      </c>
      <c r="P12" s="342">
        <v>0</v>
      </c>
      <c r="Q12" s="343">
        <v>0</v>
      </c>
      <c r="R12" s="314">
        <v>3594400</v>
      </c>
      <c r="S12" s="92" t="s">
        <v>45</v>
      </c>
      <c r="T12" s="314">
        <v>18547</v>
      </c>
      <c r="U12" s="342">
        <v>320061</v>
      </c>
      <c r="V12" s="343">
        <v>266834</v>
      </c>
      <c r="W12" s="342">
        <v>19269046.300000001</v>
      </c>
      <c r="X12" s="343">
        <v>33107005.600000001</v>
      </c>
      <c r="Y12" s="342">
        <v>2231639002.5099993</v>
      </c>
      <c r="Z12" s="343">
        <v>3810503295.9900074</v>
      </c>
      <c r="AA12" s="314">
        <v>2029776.9999999998</v>
      </c>
      <c r="AB12" s="92" t="s">
        <v>45</v>
      </c>
      <c r="AC12" s="314">
        <v>0</v>
      </c>
      <c r="AD12" s="342">
        <v>0</v>
      </c>
      <c r="AE12" s="343">
        <v>0</v>
      </c>
      <c r="AF12" s="342">
        <v>0</v>
      </c>
      <c r="AG12" s="343">
        <v>0</v>
      </c>
      <c r="AH12" s="342">
        <v>0</v>
      </c>
      <c r="AI12" s="343">
        <v>0</v>
      </c>
      <c r="AJ12" s="314">
        <v>0</v>
      </c>
      <c r="AK12" s="92" t="s">
        <v>45</v>
      </c>
      <c r="AL12" s="314">
        <v>0</v>
      </c>
      <c r="AM12" s="342">
        <v>0</v>
      </c>
      <c r="AN12" s="343">
        <v>0</v>
      </c>
      <c r="AO12" s="342">
        <v>0</v>
      </c>
      <c r="AP12" s="343">
        <v>0</v>
      </c>
      <c r="AQ12" s="342">
        <v>0</v>
      </c>
      <c r="AR12" s="343">
        <v>0</v>
      </c>
      <c r="AS12" s="314">
        <v>0</v>
      </c>
      <c r="AT12" s="345"/>
      <c r="AU12" s="346"/>
      <c r="AV12" s="345"/>
      <c r="AW12" s="347"/>
      <c r="AX12" s="347"/>
      <c r="AY12" s="347"/>
      <c r="AZ12" s="347"/>
      <c r="BA12" s="341"/>
      <c r="BB12" s="347"/>
      <c r="BC12" s="347"/>
      <c r="BD12" s="345"/>
      <c r="BE12" s="345"/>
      <c r="BF12" s="345"/>
      <c r="BG12" s="345"/>
      <c r="BH12" s="345"/>
      <c r="BI12" s="345"/>
      <c r="BJ12" s="345"/>
      <c r="BK12" s="348"/>
      <c r="BL12" s="345"/>
      <c r="BM12" s="345"/>
      <c r="BN12" s="345"/>
      <c r="BO12" s="313"/>
      <c r="BP12" s="313"/>
      <c r="BQ12" s="313"/>
      <c r="BR12" s="313"/>
      <c r="BS12" s="313"/>
      <c r="BT12" s="313"/>
    </row>
    <row r="13" spans="1:72" ht="22.5" customHeight="1">
      <c r="A13" s="92" t="s">
        <v>406</v>
      </c>
      <c r="B13" s="314">
        <f t="shared" si="0"/>
        <v>35663</v>
      </c>
      <c r="C13" s="314">
        <f t="shared" si="0"/>
        <v>464403</v>
      </c>
      <c r="D13" s="314">
        <f t="shared" si="0"/>
        <v>261710</v>
      </c>
      <c r="E13" s="314">
        <v>0</v>
      </c>
      <c r="F13" s="314">
        <v>0</v>
      </c>
      <c r="G13" s="314">
        <v>0</v>
      </c>
      <c r="H13" s="314">
        <v>0</v>
      </c>
      <c r="I13" s="314">
        <f t="shared" si="1"/>
        <v>5660741.4000000004</v>
      </c>
      <c r="J13" s="92" t="s">
        <v>406</v>
      </c>
      <c r="K13" s="314">
        <v>16567</v>
      </c>
      <c r="L13" s="342">
        <v>149041</v>
      </c>
      <c r="M13" s="343">
        <v>0</v>
      </c>
      <c r="N13" s="342">
        <v>0</v>
      </c>
      <c r="O13" s="343">
        <v>0</v>
      </c>
      <c r="P13" s="342">
        <v>0</v>
      </c>
      <c r="Q13" s="343">
        <v>0</v>
      </c>
      <c r="R13" s="314">
        <v>3556196</v>
      </c>
      <c r="S13" s="92" t="s">
        <v>406</v>
      </c>
      <c r="T13" s="314">
        <v>19096</v>
      </c>
      <c r="U13" s="342">
        <v>315362</v>
      </c>
      <c r="V13" s="343">
        <v>261710</v>
      </c>
      <c r="W13" s="342">
        <v>18864867.449999999</v>
      </c>
      <c r="X13" s="343">
        <v>32442431.149999999</v>
      </c>
      <c r="Y13" s="342">
        <v>2211246232.2499933</v>
      </c>
      <c r="Z13" s="343">
        <v>3782706401.0600114</v>
      </c>
      <c r="AA13" s="314">
        <v>2104545.4000000004</v>
      </c>
      <c r="AB13" s="92" t="s">
        <v>406</v>
      </c>
      <c r="AC13" s="314">
        <v>0</v>
      </c>
      <c r="AD13" s="342">
        <v>0</v>
      </c>
      <c r="AE13" s="343">
        <v>0</v>
      </c>
      <c r="AF13" s="342">
        <v>0</v>
      </c>
      <c r="AG13" s="343">
        <v>0</v>
      </c>
      <c r="AH13" s="342">
        <v>0</v>
      </c>
      <c r="AI13" s="343">
        <v>0</v>
      </c>
      <c r="AJ13" s="314">
        <v>0</v>
      </c>
      <c r="AK13" s="92" t="s">
        <v>406</v>
      </c>
      <c r="AL13" s="314">
        <v>0</v>
      </c>
      <c r="AM13" s="342">
        <v>0</v>
      </c>
      <c r="AN13" s="343">
        <v>0</v>
      </c>
      <c r="AO13" s="342">
        <v>0</v>
      </c>
      <c r="AP13" s="343">
        <v>0</v>
      </c>
      <c r="AQ13" s="342">
        <v>0</v>
      </c>
      <c r="AR13" s="343">
        <v>0</v>
      </c>
      <c r="AS13" s="314">
        <v>0</v>
      </c>
      <c r="AT13" s="345"/>
      <c r="AU13" s="346"/>
      <c r="AV13" s="348"/>
      <c r="AW13" s="347"/>
      <c r="AX13" s="347"/>
      <c r="AY13" s="347"/>
      <c r="AZ13" s="347"/>
      <c r="BA13" s="341"/>
      <c r="BB13" s="347"/>
      <c r="BC13" s="347"/>
      <c r="BD13" s="345"/>
      <c r="BE13" s="345"/>
      <c r="BF13" s="345"/>
      <c r="BG13" s="345"/>
      <c r="BH13" s="345"/>
      <c r="BI13" s="345"/>
      <c r="BJ13" s="345"/>
      <c r="BK13" s="348"/>
      <c r="BL13" s="345"/>
      <c r="BM13" s="345"/>
      <c r="BN13" s="345"/>
      <c r="BO13" s="313"/>
      <c r="BP13" s="313"/>
      <c r="BQ13" s="313"/>
      <c r="BR13" s="313"/>
      <c r="BS13" s="313"/>
      <c r="BT13" s="313"/>
    </row>
    <row r="14" spans="1:72" ht="22.5" customHeight="1">
      <c r="A14" s="92" t="s">
        <v>47</v>
      </c>
      <c r="B14" s="314">
        <f t="shared" si="0"/>
        <v>36022</v>
      </c>
      <c r="C14" s="314">
        <f t="shared" si="0"/>
        <v>477651</v>
      </c>
      <c r="D14" s="314">
        <f t="shared" si="0"/>
        <v>264477</v>
      </c>
      <c r="E14" s="314">
        <v>0</v>
      </c>
      <c r="F14" s="314">
        <v>0</v>
      </c>
      <c r="G14" s="314">
        <v>0</v>
      </c>
      <c r="H14" s="314">
        <v>0</v>
      </c>
      <c r="I14" s="314">
        <f t="shared" si="1"/>
        <v>5660999.7999999998</v>
      </c>
      <c r="J14" s="92" t="s">
        <v>47</v>
      </c>
      <c r="K14" s="314">
        <v>16572</v>
      </c>
      <c r="L14" s="342">
        <v>147122</v>
      </c>
      <c r="M14" s="343">
        <v>0</v>
      </c>
      <c r="N14" s="342">
        <v>0</v>
      </c>
      <c r="O14" s="343">
        <v>0</v>
      </c>
      <c r="P14" s="342">
        <v>0</v>
      </c>
      <c r="Q14" s="343">
        <v>0</v>
      </c>
      <c r="R14" s="314">
        <v>3511271</v>
      </c>
      <c r="S14" s="92" t="s">
        <v>47</v>
      </c>
      <c r="T14" s="314">
        <v>19450</v>
      </c>
      <c r="U14" s="342">
        <v>330529</v>
      </c>
      <c r="V14" s="343">
        <v>264477</v>
      </c>
      <c r="W14" s="342">
        <v>19743056.300000004</v>
      </c>
      <c r="X14" s="343">
        <v>33790634.700000003</v>
      </c>
      <c r="Y14" s="342">
        <v>2276197888.68998</v>
      </c>
      <c r="Z14" s="343">
        <v>3897227734.0799842</v>
      </c>
      <c r="AA14" s="314">
        <v>2149728.7999999998</v>
      </c>
      <c r="AB14" s="92" t="s">
        <v>47</v>
      </c>
      <c r="AC14" s="314">
        <v>0</v>
      </c>
      <c r="AD14" s="342">
        <v>0</v>
      </c>
      <c r="AE14" s="343">
        <v>0</v>
      </c>
      <c r="AF14" s="342">
        <v>0</v>
      </c>
      <c r="AG14" s="343">
        <v>0</v>
      </c>
      <c r="AH14" s="342">
        <v>0</v>
      </c>
      <c r="AI14" s="343">
        <v>0</v>
      </c>
      <c r="AJ14" s="314">
        <v>0</v>
      </c>
      <c r="AK14" s="92" t="s">
        <v>47</v>
      </c>
      <c r="AL14" s="314">
        <v>0</v>
      </c>
      <c r="AM14" s="342">
        <v>0</v>
      </c>
      <c r="AN14" s="343">
        <v>0</v>
      </c>
      <c r="AO14" s="342">
        <v>0</v>
      </c>
      <c r="AP14" s="343">
        <v>0</v>
      </c>
      <c r="AQ14" s="342">
        <v>0</v>
      </c>
      <c r="AR14" s="343">
        <v>0</v>
      </c>
      <c r="AS14" s="314">
        <v>0</v>
      </c>
      <c r="AT14" s="345"/>
      <c r="AU14" s="346"/>
      <c r="AV14" s="348"/>
      <c r="AW14" s="347"/>
      <c r="AX14" s="347"/>
      <c r="AY14" s="347"/>
      <c r="AZ14" s="347"/>
      <c r="BA14" s="341"/>
      <c r="BB14" s="347"/>
      <c r="BC14" s="347"/>
      <c r="BD14" s="345"/>
      <c r="BE14" s="345"/>
      <c r="BF14" s="345"/>
      <c r="BG14" s="345"/>
      <c r="BH14" s="345"/>
      <c r="BI14" s="345"/>
      <c r="BJ14" s="345"/>
      <c r="BK14" s="348"/>
      <c r="BL14" s="345"/>
      <c r="BM14" s="345"/>
      <c r="BN14" s="345"/>
      <c r="BO14" s="313"/>
      <c r="BP14" s="313"/>
      <c r="BQ14" s="313"/>
      <c r="BR14" s="313"/>
      <c r="BS14" s="313"/>
      <c r="BT14" s="313"/>
    </row>
    <row r="15" spans="1:72" ht="22.5" customHeight="1" thickBot="1">
      <c r="A15" s="92" t="s">
        <v>48</v>
      </c>
      <c r="B15" s="314">
        <f t="shared" si="0"/>
        <v>34324</v>
      </c>
      <c r="C15" s="288">
        <f t="shared" si="0"/>
        <v>458650</v>
      </c>
      <c r="D15" s="288">
        <f t="shared" si="0"/>
        <v>257985</v>
      </c>
      <c r="E15" s="314">
        <v>0</v>
      </c>
      <c r="F15" s="314">
        <v>0</v>
      </c>
      <c r="G15" s="314">
        <v>0</v>
      </c>
      <c r="H15" s="314">
        <v>0</v>
      </c>
      <c r="I15" s="314">
        <f t="shared" si="1"/>
        <v>5424746.7999999998</v>
      </c>
      <c r="J15" s="92" t="s">
        <v>48</v>
      </c>
      <c r="K15" s="314">
        <v>15645</v>
      </c>
      <c r="L15" s="349">
        <v>139239</v>
      </c>
      <c r="M15" s="350">
        <v>0</v>
      </c>
      <c r="N15" s="342">
        <v>0</v>
      </c>
      <c r="O15" s="350">
        <v>0</v>
      </c>
      <c r="P15" s="342">
        <v>0</v>
      </c>
      <c r="Q15" s="350">
        <v>0</v>
      </c>
      <c r="R15" s="314">
        <v>3330180</v>
      </c>
      <c r="S15" s="92" t="s">
        <v>48</v>
      </c>
      <c r="T15" s="314">
        <v>18679</v>
      </c>
      <c r="U15" s="342">
        <v>319411</v>
      </c>
      <c r="V15" s="350">
        <v>257985</v>
      </c>
      <c r="W15" s="342">
        <v>19104548.5</v>
      </c>
      <c r="X15" s="343">
        <v>32554455.899999999</v>
      </c>
      <c r="Y15" s="342">
        <v>2239248296.119998</v>
      </c>
      <c r="Z15" s="350">
        <v>3798611935.6900134</v>
      </c>
      <c r="AA15" s="314">
        <v>2094566.8</v>
      </c>
      <c r="AB15" s="92" t="s">
        <v>48</v>
      </c>
      <c r="AC15" s="314">
        <v>0</v>
      </c>
      <c r="AD15" s="342">
        <v>0</v>
      </c>
      <c r="AE15" s="350">
        <v>0</v>
      </c>
      <c r="AF15" s="342">
        <v>0</v>
      </c>
      <c r="AG15" s="350">
        <v>0</v>
      </c>
      <c r="AH15" s="342">
        <v>0</v>
      </c>
      <c r="AI15" s="350">
        <v>0</v>
      </c>
      <c r="AJ15" s="314">
        <v>0</v>
      </c>
      <c r="AK15" s="92" t="s">
        <v>48</v>
      </c>
      <c r="AL15" s="314">
        <v>0</v>
      </c>
      <c r="AM15" s="342">
        <v>0</v>
      </c>
      <c r="AN15" s="350">
        <v>0</v>
      </c>
      <c r="AO15" s="342">
        <v>0</v>
      </c>
      <c r="AP15" s="350">
        <v>0</v>
      </c>
      <c r="AQ15" s="342">
        <v>0</v>
      </c>
      <c r="AR15" s="350">
        <v>0</v>
      </c>
      <c r="AS15" s="314">
        <v>0</v>
      </c>
      <c r="AT15" s="345"/>
      <c r="AU15" s="346"/>
      <c r="AV15" s="348"/>
      <c r="AW15" s="347"/>
      <c r="AX15" s="347"/>
      <c r="AY15" s="347"/>
      <c r="AZ15" s="347"/>
      <c r="BA15" s="341"/>
      <c r="BB15" s="347"/>
      <c r="BC15" s="347"/>
      <c r="BD15" s="345"/>
      <c r="BE15" s="345"/>
      <c r="BF15" s="345"/>
      <c r="BG15" s="345"/>
      <c r="BH15" s="345"/>
      <c r="BI15" s="345"/>
      <c r="BJ15" s="345"/>
      <c r="BK15" s="348"/>
      <c r="BL15" s="345"/>
      <c r="BM15" s="345"/>
      <c r="BN15" s="345"/>
      <c r="BO15" s="313"/>
      <c r="BP15" s="313"/>
      <c r="BQ15" s="313"/>
      <c r="BR15" s="313"/>
      <c r="BS15" s="313"/>
      <c r="BT15" s="313"/>
    </row>
    <row r="16" spans="1:72" ht="18" customHeight="1" thickBot="1">
      <c r="A16" s="85" t="s">
        <v>49</v>
      </c>
      <c r="B16" s="287">
        <f t="shared" ref="B16:I16" si="2">SUM(B4:B15)</f>
        <v>447205</v>
      </c>
      <c r="C16" s="351">
        <f t="shared" si="2"/>
        <v>6116762</v>
      </c>
      <c r="D16" s="287">
        <f t="shared" si="2"/>
        <v>3507319</v>
      </c>
      <c r="E16" s="352">
        <f t="shared" si="2"/>
        <v>0</v>
      </c>
      <c r="F16" s="353">
        <f t="shared" si="2"/>
        <v>0</v>
      </c>
      <c r="G16" s="351">
        <f t="shared" si="2"/>
        <v>0</v>
      </c>
      <c r="H16" s="50">
        <f t="shared" si="2"/>
        <v>0</v>
      </c>
      <c r="I16" s="287">
        <f t="shared" si="2"/>
        <v>69302221.799999997</v>
      </c>
      <c r="J16" s="85" t="s">
        <v>49</v>
      </c>
      <c r="K16" s="287">
        <f t="shared" ref="K16:R16" si="3">SUM(K4:K15)</f>
        <v>204657</v>
      </c>
      <c r="L16" s="351">
        <f t="shared" si="3"/>
        <v>1841063</v>
      </c>
      <c r="M16" s="50">
        <f t="shared" si="3"/>
        <v>0</v>
      </c>
      <c r="N16" s="351">
        <f t="shared" si="3"/>
        <v>0</v>
      </c>
      <c r="O16" s="50">
        <f t="shared" si="3"/>
        <v>0</v>
      </c>
      <c r="P16" s="351">
        <f t="shared" si="3"/>
        <v>0</v>
      </c>
      <c r="Q16" s="50">
        <f t="shared" si="3"/>
        <v>0</v>
      </c>
      <c r="R16" s="287">
        <f t="shared" si="3"/>
        <v>43311468.5</v>
      </c>
      <c r="S16" s="85" t="s">
        <v>49</v>
      </c>
      <c r="T16" s="287">
        <f t="shared" ref="T16:AA16" si="4">SUM(T4:T15)</f>
        <v>242548</v>
      </c>
      <c r="U16" s="351">
        <f t="shared" si="4"/>
        <v>4275699</v>
      </c>
      <c r="V16" s="50">
        <f t="shared" si="4"/>
        <v>3507319</v>
      </c>
      <c r="W16" s="351">
        <f t="shared" si="4"/>
        <v>261627534.60000002</v>
      </c>
      <c r="X16" s="50">
        <f t="shared" si="4"/>
        <v>447127695.59999996</v>
      </c>
      <c r="Y16" s="351">
        <f t="shared" si="4"/>
        <v>28781237209.499939</v>
      </c>
      <c r="Z16" s="50">
        <f t="shared" si="4"/>
        <v>49235845145.369987</v>
      </c>
      <c r="AA16" s="287">
        <f t="shared" si="4"/>
        <v>25990753.300000004</v>
      </c>
      <c r="AB16" s="85" t="s">
        <v>49</v>
      </c>
      <c r="AC16" s="287">
        <f t="shared" ref="AC16:AJ16" si="5">SUM(AC4:AC15)</f>
        <v>0</v>
      </c>
      <c r="AD16" s="351">
        <f t="shared" si="5"/>
        <v>0</v>
      </c>
      <c r="AE16" s="50">
        <f t="shared" si="5"/>
        <v>0</v>
      </c>
      <c r="AF16" s="351">
        <f t="shared" si="5"/>
        <v>0</v>
      </c>
      <c r="AG16" s="50">
        <f t="shared" si="5"/>
        <v>0</v>
      </c>
      <c r="AH16" s="351">
        <f t="shared" si="5"/>
        <v>0</v>
      </c>
      <c r="AI16" s="50">
        <f t="shared" si="5"/>
        <v>0</v>
      </c>
      <c r="AJ16" s="287">
        <f t="shared" si="5"/>
        <v>0</v>
      </c>
      <c r="AK16" s="85" t="s">
        <v>49</v>
      </c>
      <c r="AL16" s="287">
        <f t="shared" ref="AL16:AS16" si="6">SUM(AL4:AL15)</f>
        <v>0</v>
      </c>
      <c r="AM16" s="351">
        <f t="shared" si="6"/>
        <v>0</v>
      </c>
      <c r="AN16" s="50">
        <f t="shared" si="6"/>
        <v>0</v>
      </c>
      <c r="AO16" s="351">
        <f t="shared" si="6"/>
        <v>0</v>
      </c>
      <c r="AP16" s="50">
        <f t="shared" si="6"/>
        <v>0</v>
      </c>
      <c r="AQ16" s="351">
        <f t="shared" si="6"/>
        <v>0</v>
      </c>
      <c r="AR16" s="50">
        <f t="shared" si="6"/>
        <v>0</v>
      </c>
      <c r="AS16" s="287">
        <f t="shared" si="6"/>
        <v>0</v>
      </c>
      <c r="AT16" s="345"/>
      <c r="AU16" s="348"/>
      <c r="AV16" s="345"/>
      <c r="AW16" s="348"/>
      <c r="AX16" s="354"/>
      <c r="AY16" s="345"/>
      <c r="AZ16" s="345"/>
      <c r="BA16" s="348"/>
      <c r="BB16" s="348"/>
      <c r="BC16" s="345"/>
      <c r="BD16" s="345"/>
      <c r="BE16" s="345"/>
      <c r="BF16" s="345"/>
      <c r="BG16" s="345"/>
      <c r="BH16" s="345"/>
      <c r="BI16" s="345"/>
      <c r="BJ16" s="345"/>
      <c r="BK16" s="348"/>
      <c r="BL16" s="345"/>
      <c r="BM16" s="345"/>
      <c r="BN16" s="345"/>
      <c r="BO16" s="313"/>
      <c r="BP16" s="313"/>
      <c r="BQ16" s="313"/>
      <c r="BR16" s="313"/>
      <c r="BS16" s="313"/>
      <c r="BT16" s="313"/>
    </row>
    <row r="17" spans="1:78" ht="6.75" customHeight="1">
      <c r="R17" s="313"/>
      <c r="AT17" s="345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</row>
    <row r="18" spans="1:78" ht="15.75" hidden="1" customHeight="1">
      <c r="AT18" s="345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</row>
    <row r="19" spans="1:78" ht="15.75" hidden="1" customHeight="1">
      <c r="AT19" s="345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</row>
    <row r="20" spans="1:78" s="331" customFormat="1" ht="22.5" customHeight="1" thickBot="1">
      <c r="A20" s="2999" t="s">
        <v>477</v>
      </c>
      <c r="B20" s="2999"/>
      <c r="C20" s="2999"/>
      <c r="D20" s="2999"/>
      <c r="E20" s="2999"/>
      <c r="F20" s="2999"/>
      <c r="G20" s="2999"/>
      <c r="H20" s="2999"/>
      <c r="I20" s="2999"/>
      <c r="J20" s="2999" t="s">
        <v>478</v>
      </c>
      <c r="K20" s="2999"/>
      <c r="L20" s="2999"/>
      <c r="M20" s="2999"/>
      <c r="N20" s="2999"/>
      <c r="O20" s="2999"/>
      <c r="P20" s="2999"/>
      <c r="Q20" s="2999"/>
      <c r="R20" s="2999"/>
      <c r="S20" s="2999" t="s">
        <v>479</v>
      </c>
      <c r="T20" s="2999"/>
      <c r="U20" s="2999"/>
      <c r="V20" s="2999"/>
      <c r="W20" s="2999"/>
      <c r="X20" s="2999"/>
      <c r="Y20" s="2999"/>
      <c r="Z20" s="2999"/>
      <c r="AA20" s="2999"/>
      <c r="AB20" s="2999" t="s">
        <v>480</v>
      </c>
      <c r="AC20" s="2999"/>
      <c r="AD20" s="2999"/>
      <c r="AE20" s="2999"/>
      <c r="AF20" s="2999"/>
      <c r="AG20" s="2999"/>
      <c r="AH20" s="2999"/>
      <c r="AI20" s="2999"/>
      <c r="AJ20" s="2999"/>
      <c r="AK20" s="2999" t="s">
        <v>481</v>
      </c>
      <c r="AL20" s="2999"/>
      <c r="AM20" s="2999"/>
      <c r="AN20" s="2999"/>
      <c r="AO20" s="2999"/>
      <c r="AP20" s="2999"/>
      <c r="AQ20" s="2999"/>
      <c r="AR20" s="2999"/>
      <c r="AS20" s="2999"/>
      <c r="AT20" s="345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</row>
    <row r="21" spans="1:78" s="332" customFormat="1" ht="17.25" customHeight="1" thickBot="1">
      <c r="A21" s="3000" t="s">
        <v>1</v>
      </c>
      <c r="B21" s="3002" t="s">
        <v>466</v>
      </c>
      <c r="C21" s="3004" t="s">
        <v>467</v>
      </c>
      <c r="D21" s="3005"/>
      <c r="E21" s="3006" t="s">
        <v>468</v>
      </c>
      <c r="F21" s="3007"/>
      <c r="G21" s="3006" t="s">
        <v>469</v>
      </c>
      <c r="H21" s="3007"/>
      <c r="I21" s="3012" t="s">
        <v>470</v>
      </c>
      <c r="J21" s="3000" t="s">
        <v>1</v>
      </c>
      <c r="K21" s="3002" t="s">
        <v>466</v>
      </c>
      <c r="L21" s="3006" t="s">
        <v>467</v>
      </c>
      <c r="M21" s="3007"/>
      <c r="N21" s="3006" t="s">
        <v>468</v>
      </c>
      <c r="O21" s="3007"/>
      <c r="P21" s="3006" t="s">
        <v>469</v>
      </c>
      <c r="Q21" s="3007"/>
      <c r="R21" s="3008" t="s">
        <v>470</v>
      </c>
      <c r="S21" s="3000" t="s">
        <v>1</v>
      </c>
      <c r="T21" s="3002" t="s">
        <v>466</v>
      </c>
      <c r="U21" s="3010" t="s">
        <v>467</v>
      </c>
      <c r="V21" s="3011"/>
      <c r="W21" s="3006" t="s">
        <v>468</v>
      </c>
      <c r="X21" s="3007"/>
      <c r="Y21" s="3006" t="s">
        <v>469</v>
      </c>
      <c r="Z21" s="3007"/>
      <c r="AA21" s="3008" t="s">
        <v>470</v>
      </c>
      <c r="AB21" s="3000" t="s">
        <v>1</v>
      </c>
      <c r="AC21" s="3002" t="s">
        <v>466</v>
      </c>
      <c r="AD21" s="3010" t="s">
        <v>467</v>
      </c>
      <c r="AE21" s="3011"/>
      <c r="AF21" s="3006" t="s">
        <v>468</v>
      </c>
      <c r="AG21" s="3007"/>
      <c r="AH21" s="3006" t="s">
        <v>469</v>
      </c>
      <c r="AI21" s="3007"/>
      <c r="AJ21" s="3008" t="s">
        <v>470</v>
      </c>
      <c r="AK21" s="3000" t="s">
        <v>1</v>
      </c>
      <c r="AL21" s="3002" t="s">
        <v>466</v>
      </c>
      <c r="AM21" s="3010" t="s">
        <v>467</v>
      </c>
      <c r="AN21" s="3011"/>
      <c r="AO21" s="3006" t="s">
        <v>468</v>
      </c>
      <c r="AP21" s="3007"/>
      <c r="AQ21" s="3006" t="s">
        <v>469</v>
      </c>
      <c r="AR21" s="3007"/>
      <c r="AS21" s="3012" t="s">
        <v>470</v>
      </c>
      <c r="AT21" s="345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41"/>
      <c r="BL21" s="341"/>
      <c r="BM21" s="341"/>
      <c r="BN21" s="341"/>
    </row>
    <row r="22" spans="1:78" s="332" customFormat="1" ht="16.5" customHeight="1" thickBot="1">
      <c r="A22" s="3001"/>
      <c r="B22" s="3003"/>
      <c r="C22" s="355" t="s">
        <v>471</v>
      </c>
      <c r="D22" s="356" t="s">
        <v>472</v>
      </c>
      <c r="E22" s="337" t="s">
        <v>473</v>
      </c>
      <c r="F22" s="338" t="s">
        <v>474</v>
      </c>
      <c r="G22" s="337" t="s">
        <v>475</v>
      </c>
      <c r="H22" s="338" t="s">
        <v>476</v>
      </c>
      <c r="I22" s="3013"/>
      <c r="J22" s="3001"/>
      <c r="K22" s="3003"/>
      <c r="L22" s="355" t="s">
        <v>471</v>
      </c>
      <c r="M22" s="339" t="s">
        <v>472</v>
      </c>
      <c r="N22" s="337" t="s">
        <v>473</v>
      </c>
      <c r="O22" s="338" t="s">
        <v>474</v>
      </c>
      <c r="P22" s="337" t="s">
        <v>475</v>
      </c>
      <c r="Q22" s="338" t="s">
        <v>476</v>
      </c>
      <c r="R22" s="3009"/>
      <c r="S22" s="3001"/>
      <c r="T22" s="3003"/>
      <c r="U22" s="340" t="s">
        <v>471</v>
      </c>
      <c r="V22" s="338" t="s">
        <v>472</v>
      </c>
      <c r="W22" s="337" t="s">
        <v>473</v>
      </c>
      <c r="X22" s="338" t="s">
        <v>474</v>
      </c>
      <c r="Y22" s="337" t="s">
        <v>475</v>
      </c>
      <c r="Z22" s="338" t="s">
        <v>476</v>
      </c>
      <c r="AA22" s="3009"/>
      <c r="AB22" s="3001"/>
      <c r="AC22" s="3003"/>
      <c r="AD22" s="340" t="s">
        <v>471</v>
      </c>
      <c r="AE22" s="338" t="s">
        <v>472</v>
      </c>
      <c r="AF22" s="337" t="s">
        <v>473</v>
      </c>
      <c r="AG22" s="338" t="s">
        <v>474</v>
      </c>
      <c r="AH22" s="337" t="s">
        <v>475</v>
      </c>
      <c r="AI22" s="338" t="s">
        <v>476</v>
      </c>
      <c r="AJ22" s="3016"/>
      <c r="AK22" s="3001"/>
      <c r="AL22" s="3003"/>
      <c r="AM22" s="340" t="s">
        <v>471</v>
      </c>
      <c r="AN22" s="338" t="s">
        <v>472</v>
      </c>
      <c r="AO22" s="337" t="s">
        <v>473</v>
      </c>
      <c r="AP22" s="338" t="s">
        <v>474</v>
      </c>
      <c r="AQ22" s="337" t="s">
        <v>475</v>
      </c>
      <c r="AR22" s="338" t="s">
        <v>476</v>
      </c>
      <c r="AS22" s="3013"/>
      <c r="AT22" s="345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</row>
    <row r="23" spans="1:78" ht="17.25" customHeight="1">
      <c r="A23" s="92" t="s">
        <v>78</v>
      </c>
      <c r="B23" s="314">
        <f>K23+T23</f>
        <v>14997</v>
      </c>
      <c r="C23" s="342">
        <f>L23+U23</f>
        <v>158739</v>
      </c>
      <c r="D23" s="344">
        <f>M23+V23</f>
        <v>41992</v>
      </c>
      <c r="E23" s="342">
        <v>0</v>
      </c>
      <c r="F23" s="344">
        <v>0</v>
      </c>
      <c r="G23" s="342">
        <v>0</v>
      </c>
      <c r="H23" s="344">
        <v>0</v>
      </c>
      <c r="I23" s="314">
        <f>R23+AA23</f>
        <v>2162426</v>
      </c>
      <c r="J23" s="92" t="s">
        <v>78</v>
      </c>
      <c r="K23" s="314">
        <v>5564</v>
      </c>
      <c r="L23" s="342">
        <v>46667</v>
      </c>
      <c r="M23" s="343">
        <v>0</v>
      </c>
      <c r="N23" s="342">
        <v>0</v>
      </c>
      <c r="O23" s="344">
        <v>0</v>
      </c>
      <c r="P23" s="342">
        <v>0</v>
      </c>
      <c r="Q23" s="344">
        <v>0</v>
      </c>
      <c r="R23" s="314">
        <v>1079730</v>
      </c>
      <c r="S23" s="92" t="s">
        <v>78</v>
      </c>
      <c r="T23" s="314">
        <v>9433</v>
      </c>
      <c r="U23" s="342">
        <v>112072</v>
      </c>
      <c r="V23" s="344">
        <v>41992</v>
      </c>
      <c r="W23" s="342">
        <v>3775164.43</v>
      </c>
      <c r="X23" s="344">
        <v>7217271.4300000016</v>
      </c>
      <c r="Y23" s="342">
        <v>475801016.23000008</v>
      </c>
      <c r="Z23" s="344">
        <v>895628967.33000016</v>
      </c>
      <c r="AA23" s="314">
        <v>1082696</v>
      </c>
      <c r="AB23" s="357" t="s">
        <v>70</v>
      </c>
      <c r="AC23" s="314">
        <v>0</v>
      </c>
      <c r="AD23" s="342">
        <v>0</v>
      </c>
      <c r="AE23" s="344">
        <v>0</v>
      </c>
      <c r="AF23" s="342">
        <v>0</v>
      </c>
      <c r="AG23" s="344">
        <v>0</v>
      </c>
      <c r="AH23" s="342">
        <v>0</v>
      </c>
      <c r="AI23" s="344">
        <v>0</v>
      </c>
      <c r="AJ23" s="314">
        <v>0</v>
      </c>
      <c r="AK23" s="92" t="s">
        <v>70</v>
      </c>
      <c r="AL23" s="314">
        <v>0</v>
      </c>
      <c r="AM23" s="342">
        <v>0</v>
      </c>
      <c r="AN23" s="344">
        <v>0</v>
      </c>
      <c r="AO23" s="342">
        <v>0</v>
      </c>
      <c r="AP23" s="344">
        <v>0</v>
      </c>
      <c r="AQ23" s="342">
        <v>0</v>
      </c>
      <c r="AR23" s="344">
        <v>0</v>
      </c>
      <c r="AS23" s="314">
        <v>0</v>
      </c>
      <c r="AT23" s="345"/>
      <c r="AU23" s="348"/>
      <c r="AV23" s="348"/>
      <c r="AW23" s="348"/>
      <c r="AX23" s="348"/>
      <c r="AY23" s="358"/>
      <c r="AZ23" s="348"/>
      <c r="BA23" s="359"/>
      <c r="BB23" s="348"/>
      <c r="BC23" s="348"/>
      <c r="BD23" s="348"/>
      <c r="BE23" s="348"/>
      <c r="BF23" s="348"/>
      <c r="BG23" s="348"/>
      <c r="BH23" s="348"/>
      <c r="BI23" s="348"/>
      <c r="BJ23" s="348"/>
      <c r="BK23" s="348"/>
      <c r="BL23" s="348"/>
      <c r="BM23" s="348"/>
      <c r="BN23" s="348"/>
    </row>
    <row r="24" spans="1:78" ht="17.25" customHeight="1">
      <c r="A24" s="92" t="s">
        <v>70</v>
      </c>
      <c r="B24" s="314">
        <f t="shared" ref="B24:D43" si="7">K24+T24</f>
        <v>15307</v>
      </c>
      <c r="C24" s="342">
        <f t="shared" si="7"/>
        <v>193002</v>
      </c>
      <c r="D24" s="343">
        <f t="shared" si="7"/>
        <v>130305</v>
      </c>
      <c r="E24" s="342">
        <v>0</v>
      </c>
      <c r="F24" s="343">
        <v>0</v>
      </c>
      <c r="G24" s="342">
        <v>0</v>
      </c>
      <c r="H24" s="343">
        <v>0</v>
      </c>
      <c r="I24" s="314">
        <f t="shared" ref="I24:I43" si="8">R24+AA24</f>
        <v>1859405.3</v>
      </c>
      <c r="J24" s="92" t="s">
        <v>70</v>
      </c>
      <c r="K24" s="314">
        <v>4828</v>
      </c>
      <c r="L24" s="342">
        <v>50880</v>
      </c>
      <c r="M24" s="343">
        <v>0</v>
      </c>
      <c r="N24" s="342">
        <v>0</v>
      </c>
      <c r="O24" s="343">
        <v>0</v>
      </c>
      <c r="P24" s="342">
        <v>0</v>
      </c>
      <c r="Q24" s="343">
        <v>0</v>
      </c>
      <c r="R24" s="314">
        <v>753667.5</v>
      </c>
      <c r="S24" s="92" t="s">
        <v>70</v>
      </c>
      <c r="T24" s="314">
        <v>10479</v>
      </c>
      <c r="U24" s="342">
        <v>142122</v>
      </c>
      <c r="V24" s="343">
        <v>130305</v>
      </c>
      <c r="W24" s="342">
        <v>8510938.9500000011</v>
      </c>
      <c r="X24" s="343">
        <v>14685663.950000001</v>
      </c>
      <c r="Y24" s="342">
        <v>961951178.15000129</v>
      </c>
      <c r="Z24" s="343">
        <v>1653622544.1499996</v>
      </c>
      <c r="AA24" s="314">
        <v>1105737.8</v>
      </c>
      <c r="AB24" s="357" t="s">
        <v>79</v>
      </c>
      <c r="AC24" s="314">
        <v>0</v>
      </c>
      <c r="AD24" s="342">
        <v>0</v>
      </c>
      <c r="AE24" s="343">
        <v>0</v>
      </c>
      <c r="AF24" s="342">
        <v>0</v>
      </c>
      <c r="AG24" s="343">
        <v>0</v>
      </c>
      <c r="AH24" s="342">
        <v>0</v>
      </c>
      <c r="AI24" s="343">
        <v>0</v>
      </c>
      <c r="AJ24" s="314">
        <v>0</v>
      </c>
      <c r="AK24" s="92" t="s">
        <v>79</v>
      </c>
      <c r="AL24" s="314">
        <v>0</v>
      </c>
      <c r="AM24" s="342">
        <v>0</v>
      </c>
      <c r="AN24" s="343">
        <v>0</v>
      </c>
      <c r="AO24" s="342">
        <v>0</v>
      </c>
      <c r="AP24" s="343">
        <v>0</v>
      </c>
      <c r="AQ24" s="342">
        <v>0</v>
      </c>
      <c r="AR24" s="343">
        <v>0</v>
      </c>
      <c r="AS24" s="314">
        <v>0</v>
      </c>
      <c r="AT24" s="360"/>
      <c r="AU24" s="345"/>
      <c r="AV24" s="348"/>
      <c r="AW24" s="348"/>
      <c r="AX24" s="348"/>
      <c r="AY24" s="358"/>
      <c r="AZ24" s="348"/>
      <c r="BA24" s="341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</row>
    <row r="25" spans="1:78" ht="17.25" customHeight="1">
      <c r="A25" s="92" t="s">
        <v>79</v>
      </c>
      <c r="B25" s="314">
        <f t="shared" si="7"/>
        <v>39551</v>
      </c>
      <c r="C25" s="342">
        <f t="shared" si="7"/>
        <v>602376</v>
      </c>
      <c r="D25" s="343">
        <f t="shared" si="7"/>
        <v>357074</v>
      </c>
      <c r="E25" s="342">
        <v>0</v>
      </c>
      <c r="F25" s="343">
        <v>0</v>
      </c>
      <c r="G25" s="342">
        <v>0</v>
      </c>
      <c r="H25" s="343">
        <v>0</v>
      </c>
      <c r="I25" s="314">
        <f t="shared" si="8"/>
        <v>4661732</v>
      </c>
      <c r="J25" s="92" t="s">
        <v>79</v>
      </c>
      <c r="K25" s="314">
        <v>7664</v>
      </c>
      <c r="L25" s="342">
        <v>85957</v>
      </c>
      <c r="M25" s="343">
        <v>0</v>
      </c>
      <c r="N25" s="342">
        <v>0</v>
      </c>
      <c r="O25" s="343">
        <v>0</v>
      </c>
      <c r="P25" s="342">
        <v>0</v>
      </c>
      <c r="Q25" s="343">
        <v>0</v>
      </c>
      <c r="R25" s="314">
        <v>1565338</v>
      </c>
      <c r="S25" s="92" t="s">
        <v>79</v>
      </c>
      <c r="T25" s="314">
        <v>31887</v>
      </c>
      <c r="U25" s="342">
        <v>516419</v>
      </c>
      <c r="V25" s="343">
        <v>357074</v>
      </c>
      <c r="W25" s="342">
        <v>36442819.589999996</v>
      </c>
      <c r="X25" s="343">
        <v>59076025.890000008</v>
      </c>
      <c r="Y25" s="342">
        <v>4007174034.259943</v>
      </c>
      <c r="Z25" s="343">
        <v>6736988366.359971</v>
      </c>
      <c r="AA25" s="314">
        <v>3096394</v>
      </c>
      <c r="AB25" s="357" t="s">
        <v>78</v>
      </c>
      <c r="AC25" s="314">
        <v>0</v>
      </c>
      <c r="AD25" s="342">
        <v>0</v>
      </c>
      <c r="AE25" s="343">
        <v>0</v>
      </c>
      <c r="AF25" s="342">
        <v>0</v>
      </c>
      <c r="AG25" s="343">
        <v>0</v>
      </c>
      <c r="AH25" s="342">
        <v>0</v>
      </c>
      <c r="AI25" s="343">
        <v>0</v>
      </c>
      <c r="AJ25" s="314">
        <v>0</v>
      </c>
      <c r="AK25" s="92" t="s">
        <v>78</v>
      </c>
      <c r="AL25" s="314">
        <v>0</v>
      </c>
      <c r="AM25" s="342">
        <v>0</v>
      </c>
      <c r="AN25" s="343">
        <v>0</v>
      </c>
      <c r="AO25" s="342">
        <v>0</v>
      </c>
      <c r="AP25" s="343">
        <v>0</v>
      </c>
      <c r="AQ25" s="342">
        <v>0</v>
      </c>
      <c r="AR25" s="343">
        <v>0</v>
      </c>
      <c r="AS25" s="314">
        <v>0</v>
      </c>
      <c r="AT25" s="345"/>
      <c r="AU25" s="348"/>
      <c r="AV25" s="348"/>
      <c r="AW25" s="348"/>
      <c r="AX25" s="348"/>
      <c r="AY25" s="358"/>
      <c r="AZ25" s="348"/>
      <c r="BA25" s="341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</row>
    <row r="26" spans="1:78" ht="17.25" customHeight="1">
      <c r="A26" s="92" t="s">
        <v>71</v>
      </c>
      <c r="B26" s="314">
        <f t="shared" si="7"/>
        <v>74746</v>
      </c>
      <c r="C26" s="342">
        <f t="shared" si="7"/>
        <v>810824</v>
      </c>
      <c r="D26" s="343">
        <f t="shared" si="7"/>
        <v>267408</v>
      </c>
      <c r="E26" s="342">
        <v>0</v>
      </c>
      <c r="F26" s="343">
        <v>0</v>
      </c>
      <c r="G26" s="342">
        <v>0</v>
      </c>
      <c r="H26" s="343">
        <v>0</v>
      </c>
      <c r="I26" s="314">
        <f t="shared" si="8"/>
        <v>6424158.7000000002</v>
      </c>
      <c r="J26" s="92" t="s">
        <v>71</v>
      </c>
      <c r="K26" s="314">
        <v>57934</v>
      </c>
      <c r="L26" s="342">
        <v>476729</v>
      </c>
      <c r="M26" s="343">
        <v>0</v>
      </c>
      <c r="N26" s="342">
        <v>0</v>
      </c>
      <c r="O26" s="343">
        <v>0</v>
      </c>
      <c r="P26" s="342">
        <v>0</v>
      </c>
      <c r="Q26" s="343">
        <v>0</v>
      </c>
      <c r="R26" s="314">
        <v>5571984</v>
      </c>
      <c r="S26" s="92" t="s">
        <v>71</v>
      </c>
      <c r="T26" s="314">
        <v>16812</v>
      </c>
      <c r="U26" s="342">
        <v>334095</v>
      </c>
      <c r="V26" s="343">
        <v>267408</v>
      </c>
      <c r="W26" s="342">
        <v>16539091.240000002</v>
      </c>
      <c r="X26" s="343">
        <v>29498837.140000001</v>
      </c>
      <c r="Y26" s="342">
        <v>806324824.15999925</v>
      </c>
      <c r="Z26" s="343">
        <v>1436007774.7100008</v>
      </c>
      <c r="AA26" s="314">
        <v>852174.70000000007</v>
      </c>
      <c r="AB26" s="357" t="s">
        <v>71</v>
      </c>
      <c r="AC26" s="314">
        <v>0</v>
      </c>
      <c r="AD26" s="342">
        <v>0</v>
      </c>
      <c r="AE26" s="343">
        <v>0</v>
      </c>
      <c r="AF26" s="342">
        <v>0</v>
      </c>
      <c r="AG26" s="343">
        <v>0</v>
      </c>
      <c r="AH26" s="342">
        <v>0</v>
      </c>
      <c r="AI26" s="343">
        <v>0</v>
      </c>
      <c r="AJ26" s="314">
        <v>0</v>
      </c>
      <c r="AK26" s="92" t="s">
        <v>71</v>
      </c>
      <c r="AL26" s="314">
        <v>0</v>
      </c>
      <c r="AM26" s="342">
        <v>0</v>
      </c>
      <c r="AN26" s="343">
        <v>0</v>
      </c>
      <c r="AO26" s="342">
        <v>0</v>
      </c>
      <c r="AP26" s="343">
        <v>0</v>
      </c>
      <c r="AQ26" s="342">
        <v>0</v>
      </c>
      <c r="AR26" s="343">
        <v>0</v>
      </c>
      <c r="AS26" s="314">
        <v>0</v>
      </c>
      <c r="AT26" s="345"/>
      <c r="AU26" s="348"/>
      <c r="AV26" s="348"/>
      <c r="AW26" s="348"/>
      <c r="AX26" s="348"/>
      <c r="AY26" s="358"/>
      <c r="AZ26" s="348"/>
      <c r="BA26" s="341"/>
      <c r="BB26" s="348"/>
      <c r="BC26" s="348"/>
      <c r="BD26" s="348"/>
      <c r="BE26" s="348"/>
      <c r="BF26" s="348"/>
      <c r="BG26" s="348"/>
      <c r="BH26" s="348"/>
      <c r="BI26" s="348"/>
      <c r="BJ26" s="348"/>
      <c r="BK26" s="348"/>
      <c r="BL26" s="348"/>
      <c r="BM26" s="348"/>
      <c r="BN26" s="348"/>
    </row>
    <row r="27" spans="1:78" ht="17.25" customHeight="1">
      <c r="A27" s="92" t="s">
        <v>68</v>
      </c>
      <c r="B27" s="314">
        <f t="shared" si="7"/>
        <v>16476</v>
      </c>
      <c r="C27" s="342">
        <f t="shared" si="7"/>
        <v>232854</v>
      </c>
      <c r="D27" s="343">
        <f t="shared" si="7"/>
        <v>177875</v>
      </c>
      <c r="E27" s="342">
        <v>0</v>
      </c>
      <c r="F27" s="343">
        <v>0</v>
      </c>
      <c r="G27" s="342">
        <v>0</v>
      </c>
      <c r="H27" s="343">
        <v>0</v>
      </c>
      <c r="I27" s="314">
        <f t="shared" si="8"/>
        <v>1581980</v>
      </c>
      <c r="J27" s="92" t="s">
        <v>68</v>
      </c>
      <c r="K27" s="314">
        <v>7592</v>
      </c>
      <c r="L27" s="342">
        <v>51123</v>
      </c>
      <c r="M27" s="343">
        <v>0</v>
      </c>
      <c r="N27" s="342">
        <v>0</v>
      </c>
      <c r="O27" s="343">
        <v>0</v>
      </c>
      <c r="P27" s="342">
        <v>0</v>
      </c>
      <c r="Q27" s="343">
        <v>0</v>
      </c>
      <c r="R27" s="314">
        <v>832556</v>
      </c>
      <c r="S27" s="92" t="s">
        <v>68</v>
      </c>
      <c r="T27" s="314">
        <v>8884</v>
      </c>
      <c r="U27" s="342">
        <v>181731</v>
      </c>
      <c r="V27" s="343">
        <v>177875</v>
      </c>
      <c r="W27" s="342">
        <v>11399211.199999997</v>
      </c>
      <c r="X27" s="343">
        <v>19741302.999999996</v>
      </c>
      <c r="Y27" s="342">
        <v>1029265117.5000002</v>
      </c>
      <c r="Z27" s="343">
        <v>1773396360.8999999</v>
      </c>
      <c r="AA27" s="314">
        <v>749424</v>
      </c>
      <c r="AB27" s="357" t="s">
        <v>68</v>
      </c>
      <c r="AC27" s="314">
        <v>0</v>
      </c>
      <c r="AD27" s="342">
        <v>0</v>
      </c>
      <c r="AE27" s="343">
        <v>0</v>
      </c>
      <c r="AF27" s="342">
        <v>0</v>
      </c>
      <c r="AG27" s="343">
        <v>0</v>
      </c>
      <c r="AH27" s="342">
        <v>0</v>
      </c>
      <c r="AI27" s="343">
        <v>0</v>
      </c>
      <c r="AJ27" s="314">
        <v>0</v>
      </c>
      <c r="AK27" s="92" t="s">
        <v>68</v>
      </c>
      <c r="AL27" s="314">
        <v>0</v>
      </c>
      <c r="AM27" s="342">
        <v>0</v>
      </c>
      <c r="AN27" s="343">
        <v>0</v>
      </c>
      <c r="AO27" s="342">
        <v>0</v>
      </c>
      <c r="AP27" s="343">
        <v>0</v>
      </c>
      <c r="AQ27" s="342">
        <v>0</v>
      </c>
      <c r="AR27" s="343">
        <v>0</v>
      </c>
      <c r="AS27" s="314">
        <v>0</v>
      </c>
      <c r="AT27" s="345"/>
      <c r="AU27" s="348"/>
      <c r="AV27" s="348"/>
      <c r="AW27" s="348"/>
      <c r="AX27" s="348"/>
      <c r="AY27" s="358"/>
      <c r="AZ27" s="348"/>
      <c r="BA27" s="341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</row>
    <row r="28" spans="1:78" ht="17.25" customHeight="1">
      <c r="A28" s="92" t="s">
        <v>82</v>
      </c>
      <c r="B28" s="314">
        <f t="shared" si="7"/>
        <v>4689</v>
      </c>
      <c r="C28" s="342">
        <f t="shared" si="7"/>
        <v>48652</v>
      </c>
      <c r="D28" s="343">
        <f t="shared" si="7"/>
        <v>27298</v>
      </c>
      <c r="E28" s="342">
        <v>0</v>
      </c>
      <c r="F28" s="343">
        <v>0</v>
      </c>
      <c r="G28" s="342">
        <v>0</v>
      </c>
      <c r="H28" s="343">
        <v>0</v>
      </c>
      <c r="I28" s="314">
        <f t="shared" si="8"/>
        <v>600117</v>
      </c>
      <c r="J28" s="92" t="s">
        <v>82</v>
      </c>
      <c r="K28" s="314">
        <v>1272</v>
      </c>
      <c r="L28" s="342">
        <v>12043</v>
      </c>
      <c r="M28" s="343">
        <v>0</v>
      </c>
      <c r="N28" s="342">
        <v>0</v>
      </c>
      <c r="O28" s="343">
        <v>0</v>
      </c>
      <c r="P28" s="342">
        <v>0</v>
      </c>
      <c r="Q28" s="343">
        <v>0</v>
      </c>
      <c r="R28" s="314">
        <v>275297</v>
      </c>
      <c r="S28" s="92" t="s">
        <v>82</v>
      </c>
      <c r="T28" s="314">
        <v>3417</v>
      </c>
      <c r="U28" s="342">
        <v>36609</v>
      </c>
      <c r="V28" s="343">
        <v>27298</v>
      </c>
      <c r="W28" s="342">
        <v>2510460.7600000002</v>
      </c>
      <c r="X28" s="343">
        <v>4207559.3600000003</v>
      </c>
      <c r="Y28" s="342">
        <v>194226852.85999984</v>
      </c>
      <c r="Z28" s="343">
        <v>348212058.86000037</v>
      </c>
      <c r="AA28" s="314">
        <v>324820</v>
      </c>
      <c r="AB28" s="357" t="s">
        <v>82</v>
      </c>
      <c r="AC28" s="314">
        <v>0</v>
      </c>
      <c r="AD28" s="342">
        <v>0</v>
      </c>
      <c r="AE28" s="343">
        <v>0</v>
      </c>
      <c r="AF28" s="342">
        <v>0</v>
      </c>
      <c r="AG28" s="343">
        <v>0</v>
      </c>
      <c r="AH28" s="342">
        <v>0</v>
      </c>
      <c r="AI28" s="343">
        <v>0</v>
      </c>
      <c r="AJ28" s="314">
        <v>0</v>
      </c>
      <c r="AK28" s="92" t="s">
        <v>82</v>
      </c>
      <c r="AL28" s="314">
        <v>0</v>
      </c>
      <c r="AM28" s="342">
        <v>0</v>
      </c>
      <c r="AN28" s="343">
        <v>0</v>
      </c>
      <c r="AO28" s="342">
        <v>0</v>
      </c>
      <c r="AP28" s="343">
        <v>0</v>
      </c>
      <c r="AQ28" s="342">
        <v>0</v>
      </c>
      <c r="AR28" s="343">
        <v>0</v>
      </c>
      <c r="AS28" s="314">
        <v>0</v>
      </c>
      <c r="AT28" s="345"/>
      <c r="AU28" s="348"/>
      <c r="AV28" s="348"/>
      <c r="AW28" s="348"/>
      <c r="AX28" s="348"/>
      <c r="AY28" s="358"/>
      <c r="AZ28" s="348"/>
      <c r="BA28" s="341"/>
      <c r="BB28" s="348"/>
      <c r="BC28" s="348"/>
      <c r="BD28" s="348"/>
      <c r="BE28" s="348"/>
      <c r="BF28" s="348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</row>
    <row r="29" spans="1:78" ht="17.25" customHeight="1">
      <c r="A29" s="92" t="s">
        <v>76</v>
      </c>
      <c r="B29" s="314">
        <f t="shared" si="7"/>
        <v>37630</v>
      </c>
      <c r="C29" s="342">
        <f t="shared" si="7"/>
        <v>451653</v>
      </c>
      <c r="D29" s="343">
        <f t="shared" si="7"/>
        <v>152749</v>
      </c>
      <c r="E29" s="342">
        <v>0</v>
      </c>
      <c r="F29" s="343">
        <v>0</v>
      </c>
      <c r="G29" s="342">
        <v>0</v>
      </c>
      <c r="H29" s="343">
        <v>0</v>
      </c>
      <c r="I29" s="314">
        <f t="shared" si="8"/>
        <v>7927661</v>
      </c>
      <c r="J29" s="92" t="s">
        <v>76</v>
      </c>
      <c r="K29" s="314">
        <v>27770</v>
      </c>
      <c r="L29" s="342">
        <v>273227</v>
      </c>
      <c r="M29" s="343">
        <v>0</v>
      </c>
      <c r="N29" s="342">
        <v>0</v>
      </c>
      <c r="O29" s="343">
        <v>0</v>
      </c>
      <c r="P29" s="342">
        <v>0</v>
      </c>
      <c r="Q29" s="343">
        <v>0</v>
      </c>
      <c r="R29" s="314">
        <v>6990827</v>
      </c>
      <c r="S29" s="92" t="s">
        <v>76</v>
      </c>
      <c r="T29" s="314">
        <v>9860</v>
      </c>
      <c r="U29" s="342">
        <v>178426</v>
      </c>
      <c r="V29" s="343">
        <v>152749</v>
      </c>
      <c r="W29" s="342">
        <v>9859823.3000000007</v>
      </c>
      <c r="X29" s="343">
        <v>17383637</v>
      </c>
      <c r="Y29" s="342">
        <v>909413201.54999983</v>
      </c>
      <c r="Z29" s="343">
        <v>1596571139.1499991</v>
      </c>
      <c r="AA29" s="314">
        <v>936834</v>
      </c>
      <c r="AB29" s="357" t="s">
        <v>76</v>
      </c>
      <c r="AC29" s="314">
        <v>0</v>
      </c>
      <c r="AD29" s="342">
        <v>0</v>
      </c>
      <c r="AE29" s="343">
        <v>0</v>
      </c>
      <c r="AF29" s="342">
        <v>0</v>
      </c>
      <c r="AG29" s="343">
        <v>0</v>
      </c>
      <c r="AH29" s="342">
        <v>0</v>
      </c>
      <c r="AI29" s="343">
        <v>0</v>
      </c>
      <c r="AJ29" s="314">
        <v>0</v>
      </c>
      <c r="AK29" s="92" t="s">
        <v>76</v>
      </c>
      <c r="AL29" s="314">
        <v>0</v>
      </c>
      <c r="AM29" s="342">
        <v>0</v>
      </c>
      <c r="AN29" s="343">
        <v>0</v>
      </c>
      <c r="AO29" s="342">
        <v>0</v>
      </c>
      <c r="AP29" s="343">
        <v>0</v>
      </c>
      <c r="AQ29" s="342">
        <v>0</v>
      </c>
      <c r="AR29" s="343">
        <v>0</v>
      </c>
      <c r="AS29" s="314">
        <v>0</v>
      </c>
      <c r="AT29" s="345"/>
      <c r="AU29" s="348"/>
      <c r="AV29" s="348"/>
      <c r="AW29" s="348"/>
      <c r="AX29" s="348"/>
      <c r="AY29" s="358"/>
      <c r="AZ29" s="348"/>
      <c r="BA29" s="341"/>
      <c r="BB29" s="348"/>
      <c r="BC29" s="348"/>
      <c r="BD29" s="348"/>
      <c r="BE29" s="348"/>
      <c r="BF29" s="348"/>
      <c r="BG29" s="348"/>
      <c r="BH29" s="348"/>
      <c r="BI29" s="348"/>
      <c r="BJ29" s="348"/>
      <c r="BK29" s="348"/>
      <c r="BL29" s="348"/>
      <c r="BM29" s="348"/>
      <c r="BN29" s="348"/>
      <c r="BO29" s="348"/>
      <c r="BP29" s="348"/>
      <c r="BQ29" s="348"/>
      <c r="BR29" s="348"/>
      <c r="BS29" s="348"/>
      <c r="BT29" s="348"/>
      <c r="BU29" s="348"/>
      <c r="BV29" s="348"/>
      <c r="BW29" s="348"/>
      <c r="BX29" s="348"/>
      <c r="BY29" s="348"/>
      <c r="BZ29" s="348"/>
    </row>
    <row r="30" spans="1:78" ht="17.25" customHeight="1">
      <c r="A30" s="92" t="s">
        <v>86</v>
      </c>
      <c r="B30" s="314">
        <f t="shared" si="7"/>
        <v>16508</v>
      </c>
      <c r="C30" s="342">
        <f t="shared" si="7"/>
        <v>255314</v>
      </c>
      <c r="D30" s="343">
        <f t="shared" si="7"/>
        <v>208994</v>
      </c>
      <c r="E30" s="342">
        <v>0</v>
      </c>
      <c r="F30" s="343">
        <v>0</v>
      </c>
      <c r="G30" s="342">
        <v>0</v>
      </c>
      <c r="H30" s="343">
        <v>0</v>
      </c>
      <c r="I30" s="314">
        <f t="shared" si="8"/>
        <v>1581427</v>
      </c>
      <c r="J30" s="92" t="s">
        <v>86</v>
      </c>
      <c r="K30" s="314">
        <v>5865</v>
      </c>
      <c r="L30" s="342">
        <v>46392</v>
      </c>
      <c r="M30" s="343">
        <v>0</v>
      </c>
      <c r="N30" s="342">
        <v>0</v>
      </c>
      <c r="O30" s="343">
        <v>0</v>
      </c>
      <c r="P30" s="342">
        <v>0</v>
      </c>
      <c r="Q30" s="343">
        <v>0</v>
      </c>
      <c r="R30" s="314">
        <v>698779</v>
      </c>
      <c r="S30" s="92" t="s">
        <v>86</v>
      </c>
      <c r="T30" s="314">
        <v>10643</v>
      </c>
      <c r="U30" s="342">
        <v>208922</v>
      </c>
      <c r="V30" s="343">
        <v>208994</v>
      </c>
      <c r="W30" s="342">
        <v>13882854.800000003</v>
      </c>
      <c r="X30" s="343">
        <v>24281801.800000004</v>
      </c>
      <c r="Y30" s="342">
        <v>910537190.69999886</v>
      </c>
      <c r="Z30" s="343">
        <v>1549139683.5999999</v>
      </c>
      <c r="AA30" s="314">
        <v>882648</v>
      </c>
      <c r="AB30" s="357" t="s">
        <v>86</v>
      </c>
      <c r="AC30" s="314">
        <v>0</v>
      </c>
      <c r="AD30" s="342">
        <v>0</v>
      </c>
      <c r="AE30" s="343">
        <v>0</v>
      </c>
      <c r="AF30" s="342">
        <v>0</v>
      </c>
      <c r="AG30" s="343">
        <v>0</v>
      </c>
      <c r="AH30" s="342">
        <v>0</v>
      </c>
      <c r="AI30" s="343">
        <v>0</v>
      </c>
      <c r="AJ30" s="314">
        <v>0</v>
      </c>
      <c r="AK30" s="92" t="s">
        <v>86</v>
      </c>
      <c r="AL30" s="314">
        <v>0</v>
      </c>
      <c r="AM30" s="342">
        <v>0</v>
      </c>
      <c r="AN30" s="343">
        <v>0</v>
      </c>
      <c r="AO30" s="342">
        <v>0</v>
      </c>
      <c r="AP30" s="343">
        <v>0</v>
      </c>
      <c r="AQ30" s="342">
        <v>0</v>
      </c>
      <c r="AR30" s="343">
        <v>0</v>
      </c>
      <c r="AS30" s="314">
        <v>0</v>
      </c>
      <c r="AT30" s="345"/>
      <c r="AU30" s="348"/>
      <c r="AV30" s="348"/>
      <c r="AW30" s="348"/>
      <c r="AX30" s="348"/>
      <c r="AY30" s="358"/>
      <c r="AZ30" s="348"/>
      <c r="BA30" s="341"/>
      <c r="BB30" s="348"/>
      <c r="BC30" s="348"/>
      <c r="BD30" s="348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48"/>
      <c r="BY30" s="348"/>
      <c r="BZ30" s="348"/>
    </row>
    <row r="31" spans="1:78" ht="17.25" customHeight="1">
      <c r="A31" s="92" t="s">
        <v>84</v>
      </c>
      <c r="B31" s="314">
        <f t="shared" si="7"/>
        <v>26297</v>
      </c>
      <c r="C31" s="342">
        <f t="shared" si="7"/>
        <v>422600</v>
      </c>
      <c r="D31" s="343">
        <f t="shared" si="7"/>
        <v>428467</v>
      </c>
      <c r="E31" s="342">
        <v>0</v>
      </c>
      <c r="F31" s="343">
        <v>0</v>
      </c>
      <c r="G31" s="342">
        <v>0</v>
      </c>
      <c r="H31" s="343">
        <v>0</v>
      </c>
      <c r="I31" s="314">
        <f t="shared" si="8"/>
        <v>4965057.2000000011</v>
      </c>
      <c r="J31" s="92" t="s">
        <v>84</v>
      </c>
      <c r="K31" s="314">
        <v>2823</v>
      </c>
      <c r="L31" s="342">
        <v>26189</v>
      </c>
      <c r="M31" s="343">
        <v>0</v>
      </c>
      <c r="N31" s="342">
        <v>0</v>
      </c>
      <c r="O31" s="343">
        <v>0</v>
      </c>
      <c r="P31" s="342">
        <v>0</v>
      </c>
      <c r="Q31" s="343">
        <v>0</v>
      </c>
      <c r="R31" s="314">
        <v>1636595</v>
      </c>
      <c r="S31" s="92" t="s">
        <v>84</v>
      </c>
      <c r="T31" s="314">
        <v>23474</v>
      </c>
      <c r="U31" s="342">
        <v>396411</v>
      </c>
      <c r="V31" s="343">
        <v>428467</v>
      </c>
      <c r="W31" s="342">
        <v>29711379.5</v>
      </c>
      <c r="X31" s="343">
        <v>50816329.100000009</v>
      </c>
      <c r="Y31" s="342">
        <v>4327805376.1000166</v>
      </c>
      <c r="Z31" s="343">
        <v>7234278659.560008</v>
      </c>
      <c r="AA31" s="314">
        <v>3328462.2000000007</v>
      </c>
      <c r="AB31" s="357" t="s">
        <v>84</v>
      </c>
      <c r="AC31" s="314">
        <v>0</v>
      </c>
      <c r="AD31" s="342">
        <v>0</v>
      </c>
      <c r="AE31" s="343">
        <v>0</v>
      </c>
      <c r="AF31" s="342">
        <v>0</v>
      </c>
      <c r="AG31" s="343">
        <v>0</v>
      </c>
      <c r="AH31" s="342">
        <v>0</v>
      </c>
      <c r="AI31" s="343">
        <v>0</v>
      </c>
      <c r="AJ31" s="314">
        <v>0</v>
      </c>
      <c r="AK31" s="92" t="s">
        <v>84</v>
      </c>
      <c r="AL31" s="314">
        <v>0</v>
      </c>
      <c r="AM31" s="342">
        <v>0</v>
      </c>
      <c r="AN31" s="343">
        <v>0</v>
      </c>
      <c r="AO31" s="342">
        <v>0</v>
      </c>
      <c r="AP31" s="343">
        <v>0</v>
      </c>
      <c r="AQ31" s="342">
        <v>0</v>
      </c>
      <c r="AR31" s="343">
        <v>0</v>
      </c>
      <c r="AS31" s="314">
        <v>0</v>
      </c>
      <c r="AT31" s="345"/>
      <c r="AU31" s="348"/>
      <c r="AV31" s="348"/>
      <c r="AW31" s="348"/>
      <c r="AX31" s="348"/>
      <c r="AY31" s="358"/>
      <c r="AZ31" s="348"/>
      <c r="BA31" s="341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</row>
    <row r="32" spans="1:78" ht="17.25" customHeight="1">
      <c r="A32" s="92" t="s">
        <v>72</v>
      </c>
      <c r="B32" s="314">
        <f t="shared" si="7"/>
        <v>11948</v>
      </c>
      <c r="C32" s="342">
        <f t="shared" si="7"/>
        <v>83691</v>
      </c>
      <c r="D32" s="343">
        <f t="shared" si="7"/>
        <v>65109</v>
      </c>
      <c r="E32" s="342">
        <v>0</v>
      </c>
      <c r="F32" s="343">
        <v>0</v>
      </c>
      <c r="G32" s="342">
        <v>0</v>
      </c>
      <c r="H32" s="343">
        <v>0</v>
      </c>
      <c r="I32" s="314">
        <f t="shared" si="8"/>
        <v>1257423</v>
      </c>
      <c r="J32" s="92" t="s">
        <v>72</v>
      </c>
      <c r="K32" s="314">
        <v>4063</v>
      </c>
      <c r="L32" s="342">
        <v>19346</v>
      </c>
      <c r="M32" s="343">
        <v>0</v>
      </c>
      <c r="N32" s="342">
        <v>0</v>
      </c>
      <c r="O32" s="343">
        <v>0</v>
      </c>
      <c r="P32" s="342">
        <v>0</v>
      </c>
      <c r="Q32" s="343">
        <v>0</v>
      </c>
      <c r="R32" s="314">
        <v>740638</v>
      </c>
      <c r="S32" s="92" t="s">
        <v>72</v>
      </c>
      <c r="T32" s="314">
        <v>7885</v>
      </c>
      <c r="U32" s="342">
        <v>64345</v>
      </c>
      <c r="V32" s="343">
        <v>65109</v>
      </c>
      <c r="W32" s="342">
        <v>3837429.8499999996</v>
      </c>
      <c r="X32" s="343">
        <v>7021896.7499999991</v>
      </c>
      <c r="Y32" s="342">
        <v>266616057.39999998</v>
      </c>
      <c r="Z32" s="343">
        <v>487095767.40000004</v>
      </c>
      <c r="AA32" s="314">
        <v>516785</v>
      </c>
      <c r="AB32" s="357" t="s">
        <v>72</v>
      </c>
      <c r="AC32" s="314">
        <v>0</v>
      </c>
      <c r="AD32" s="342">
        <v>0</v>
      </c>
      <c r="AE32" s="343">
        <v>0</v>
      </c>
      <c r="AF32" s="342">
        <v>0</v>
      </c>
      <c r="AG32" s="343">
        <v>0</v>
      </c>
      <c r="AH32" s="342">
        <v>0</v>
      </c>
      <c r="AI32" s="343">
        <v>0</v>
      </c>
      <c r="AJ32" s="314">
        <v>0</v>
      </c>
      <c r="AK32" s="92" t="s">
        <v>72</v>
      </c>
      <c r="AL32" s="314">
        <v>0</v>
      </c>
      <c r="AM32" s="342">
        <v>0</v>
      </c>
      <c r="AN32" s="343">
        <v>0</v>
      </c>
      <c r="AO32" s="342">
        <v>0</v>
      </c>
      <c r="AP32" s="343">
        <v>0</v>
      </c>
      <c r="AQ32" s="342">
        <v>0</v>
      </c>
      <c r="AR32" s="343">
        <v>0</v>
      </c>
      <c r="AS32" s="314">
        <v>0</v>
      </c>
      <c r="AT32" s="345"/>
      <c r="AU32" s="348"/>
      <c r="AV32" s="348"/>
      <c r="AW32" s="348"/>
      <c r="AX32" s="348"/>
      <c r="AY32" s="358"/>
      <c r="AZ32" s="348"/>
      <c r="BA32" s="341"/>
      <c r="BB32" s="348"/>
      <c r="BC32" s="348"/>
      <c r="BD32" s="348"/>
      <c r="BE32" s="348"/>
      <c r="BF32" s="348"/>
      <c r="BG32" s="348"/>
      <c r="BH32" s="341"/>
      <c r="BI32" s="341"/>
      <c r="BJ32" s="341"/>
      <c r="BK32" s="341"/>
      <c r="BL32" s="341"/>
      <c r="BM32" s="341"/>
      <c r="BN32" s="341"/>
      <c r="BO32" s="341"/>
      <c r="BP32" s="341"/>
      <c r="BQ32" s="341"/>
      <c r="BR32" s="341"/>
      <c r="BS32" s="341"/>
      <c r="BT32" s="341"/>
      <c r="BU32" s="341"/>
      <c r="BV32" s="341"/>
      <c r="BW32" s="348"/>
      <c r="BX32" s="348"/>
      <c r="BY32" s="348"/>
      <c r="BZ32" s="348"/>
    </row>
    <row r="33" spans="1:78" ht="17.25" customHeight="1">
      <c r="A33" s="92" t="s">
        <v>73</v>
      </c>
      <c r="B33" s="314">
        <f t="shared" si="7"/>
        <v>17597</v>
      </c>
      <c r="C33" s="342">
        <f t="shared" si="7"/>
        <v>200319</v>
      </c>
      <c r="D33" s="343">
        <f t="shared" si="7"/>
        <v>67403</v>
      </c>
      <c r="E33" s="342">
        <v>0</v>
      </c>
      <c r="F33" s="343">
        <v>0</v>
      </c>
      <c r="G33" s="342">
        <v>0</v>
      </c>
      <c r="H33" s="343">
        <v>0</v>
      </c>
      <c r="I33" s="314">
        <f t="shared" si="8"/>
        <v>1356206.8</v>
      </c>
      <c r="J33" s="92" t="s">
        <v>482</v>
      </c>
      <c r="K33" s="314">
        <v>9870</v>
      </c>
      <c r="L33" s="342">
        <v>84742</v>
      </c>
      <c r="M33" s="343">
        <v>0</v>
      </c>
      <c r="N33" s="342">
        <v>0</v>
      </c>
      <c r="O33" s="343">
        <v>0</v>
      </c>
      <c r="P33" s="342">
        <v>0</v>
      </c>
      <c r="Q33" s="343">
        <v>0</v>
      </c>
      <c r="R33" s="314">
        <v>995461</v>
      </c>
      <c r="S33" s="92" t="s">
        <v>482</v>
      </c>
      <c r="T33" s="314">
        <v>7727</v>
      </c>
      <c r="U33" s="342">
        <v>115577</v>
      </c>
      <c r="V33" s="343">
        <v>67403</v>
      </c>
      <c r="W33" s="342">
        <v>5443575.29</v>
      </c>
      <c r="X33" s="343">
        <v>9781011.9900000002</v>
      </c>
      <c r="Y33" s="342">
        <v>236334138.29000008</v>
      </c>
      <c r="Z33" s="343">
        <v>432276585.99000001</v>
      </c>
      <c r="AA33" s="314">
        <v>360745.8</v>
      </c>
      <c r="AB33" s="357" t="s">
        <v>482</v>
      </c>
      <c r="AC33" s="314">
        <v>0</v>
      </c>
      <c r="AD33" s="342">
        <v>0</v>
      </c>
      <c r="AE33" s="343">
        <v>0</v>
      </c>
      <c r="AF33" s="342">
        <v>0</v>
      </c>
      <c r="AG33" s="343">
        <v>0</v>
      </c>
      <c r="AH33" s="342">
        <v>0</v>
      </c>
      <c r="AI33" s="343">
        <v>0</v>
      </c>
      <c r="AJ33" s="314">
        <v>0</v>
      </c>
      <c r="AK33" s="92" t="s">
        <v>482</v>
      </c>
      <c r="AL33" s="314">
        <v>0</v>
      </c>
      <c r="AM33" s="342">
        <v>0</v>
      </c>
      <c r="AN33" s="343">
        <v>0</v>
      </c>
      <c r="AO33" s="342">
        <v>0</v>
      </c>
      <c r="AP33" s="343">
        <v>0</v>
      </c>
      <c r="AQ33" s="342">
        <v>0</v>
      </c>
      <c r="AR33" s="343">
        <v>0</v>
      </c>
      <c r="AS33" s="314">
        <v>0</v>
      </c>
      <c r="AT33" s="345"/>
      <c r="AU33" s="348"/>
      <c r="AV33" s="348"/>
      <c r="AW33" s="348"/>
      <c r="AX33" s="348"/>
      <c r="AY33" s="358"/>
      <c r="AZ33" s="348"/>
      <c r="BA33" s="341"/>
      <c r="BB33" s="348"/>
      <c r="BC33" s="348"/>
      <c r="BD33" s="348"/>
      <c r="BE33" s="348"/>
      <c r="BF33" s="348"/>
      <c r="BG33" s="348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1"/>
      <c r="BS33" s="307"/>
      <c r="BT33" s="307"/>
      <c r="BU33" s="341"/>
      <c r="BV33" s="341"/>
      <c r="BW33" s="341"/>
      <c r="BX33" s="341"/>
      <c r="BY33" s="341"/>
      <c r="BZ33" s="341"/>
    </row>
    <row r="34" spans="1:78" ht="17.25" customHeight="1">
      <c r="A34" s="92" t="s">
        <v>74</v>
      </c>
      <c r="B34" s="314">
        <f t="shared" si="7"/>
        <v>31899</v>
      </c>
      <c r="C34" s="342">
        <f t="shared" si="7"/>
        <v>354935</v>
      </c>
      <c r="D34" s="343">
        <f t="shared" si="7"/>
        <v>101054</v>
      </c>
      <c r="E34" s="342">
        <v>0</v>
      </c>
      <c r="F34" s="343">
        <v>0</v>
      </c>
      <c r="G34" s="342">
        <v>0</v>
      </c>
      <c r="H34" s="343">
        <v>0</v>
      </c>
      <c r="I34" s="314">
        <f t="shared" si="8"/>
        <v>13914178</v>
      </c>
      <c r="J34" s="92" t="s">
        <v>483</v>
      </c>
      <c r="K34" s="314">
        <v>24726</v>
      </c>
      <c r="L34" s="342">
        <v>245071</v>
      </c>
      <c r="M34" s="343">
        <v>0</v>
      </c>
      <c r="N34" s="342">
        <v>0</v>
      </c>
      <c r="O34" s="343">
        <v>0</v>
      </c>
      <c r="P34" s="342">
        <v>0</v>
      </c>
      <c r="Q34" s="343">
        <v>0</v>
      </c>
      <c r="R34" s="314">
        <v>12786271</v>
      </c>
      <c r="S34" s="92" t="s">
        <v>483</v>
      </c>
      <c r="T34" s="314">
        <v>7173</v>
      </c>
      <c r="U34" s="342">
        <v>109864</v>
      </c>
      <c r="V34" s="343">
        <v>101054</v>
      </c>
      <c r="W34" s="342">
        <v>6407221.7499999991</v>
      </c>
      <c r="X34" s="343">
        <v>11490719.550000001</v>
      </c>
      <c r="Y34" s="342">
        <v>1139962875.4500008</v>
      </c>
      <c r="Z34" s="343">
        <v>2011039884.4500005</v>
      </c>
      <c r="AA34" s="314">
        <v>1127907</v>
      </c>
      <c r="AB34" s="357" t="s">
        <v>483</v>
      </c>
      <c r="AC34" s="314">
        <v>0</v>
      </c>
      <c r="AD34" s="342">
        <v>0</v>
      </c>
      <c r="AE34" s="343">
        <v>0</v>
      </c>
      <c r="AF34" s="342">
        <v>0</v>
      </c>
      <c r="AG34" s="343">
        <v>0</v>
      </c>
      <c r="AH34" s="342">
        <v>0</v>
      </c>
      <c r="AI34" s="343">
        <v>0</v>
      </c>
      <c r="AJ34" s="314">
        <v>0</v>
      </c>
      <c r="AK34" s="92" t="s">
        <v>483</v>
      </c>
      <c r="AL34" s="314">
        <v>0</v>
      </c>
      <c r="AM34" s="342">
        <v>0</v>
      </c>
      <c r="AN34" s="343">
        <v>0</v>
      </c>
      <c r="AO34" s="342">
        <v>0</v>
      </c>
      <c r="AP34" s="343">
        <v>0</v>
      </c>
      <c r="AQ34" s="342">
        <v>0</v>
      </c>
      <c r="AR34" s="343">
        <v>0</v>
      </c>
      <c r="AS34" s="314">
        <v>0</v>
      </c>
      <c r="AT34" s="345"/>
      <c r="AU34" s="348"/>
      <c r="AV34" s="348"/>
      <c r="AW34" s="348"/>
      <c r="AX34" s="348"/>
      <c r="AY34" s="358"/>
      <c r="AZ34" s="348"/>
      <c r="BA34" s="341"/>
      <c r="BB34" s="348"/>
      <c r="BC34" s="348"/>
      <c r="BD34" s="348"/>
      <c r="BE34" s="348"/>
      <c r="BF34" s="348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</row>
    <row r="35" spans="1:78" ht="17.25" customHeight="1">
      <c r="A35" s="92" t="s">
        <v>401</v>
      </c>
      <c r="B35" s="314">
        <f t="shared" si="7"/>
        <v>4699</v>
      </c>
      <c r="C35" s="342">
        <f t="shared" si="7"/>
        <v>20718</v>
      </c>
      <c r="D35" s="343">
        <f t="shared" si="7"/>
        <v>12944</v>
      </c>
      <c r="E35" s="342">
        <v>0</v>
      </c>
      <c r="F35" s="343">
        <v>0</v>
      </c>
      <c r="G35" s="342">
        <v>0</v>
      </c>
      <c r="H35" s="343">
        <v>0</v>
      </c>
      <c r="I35" s="314">
        <f t="shared" si="8"/>
        <v>259383</v>
      </c>
      <c r="J35" s="92" t="s">
        <v>401</v>
      </c>
      <c r="K35" s="314">
        <v>2255</v>
      </c>
      <c r="L35" s="342">
        <v>9094</v>
      </c>
      <c r="M35" s="343">
        <v>0</v>
      </c>
      <c r="N35" s="342">
        <v>0</v>
      </c>
      <c r="O35" s="343">
        <v>0</v>
      </c>
      <c r="P35" s="342">
        <v>0</v>
      </c>
      <c r="Q35" s="343">
        <v>0</v>
      </c>
      <c r="R35" s="314">
        <v>150329</v>
      </c>
      <c r="S35" s="92" t="s">
        <v>401</v>
      </c>
      <c r="T35" s="314">
        <v>2444</v>
      </c>
      <c r="U35" s="342">
        <v>11624</v>
      </c>
      <c r="V35" s="343">
        <v>12944</v>
      </c>
      <c r="W35" s="342">
        <v>548372.69999999995</v>
      </c>
      <c r="X35" s="343">
        <v>1134776.8999999999</v>
      </c>
      <c r="Y35" s="342">
        <v>19031354.400000002</v>
      </c>
      <c r="Z35" s="343">
        <v>40629129.799999997</v>
      </c>
      <c r="AA35" s="314">
        <v>109054</v>
      </c>
      <c r="AB35" s="357" t="s">
        <v>401</v>
      </c>
      <c r="AC35" s="314">
        <v>0</v>
      </c>
      <c r="AD35" s="342">
        <v>0</v>
      </c>
      <c r="AE35" s="343">
        <v>0</v>
      </c>
      <c r="AF35" s="342">
        <v>0</v>
      </c>
      <c r="AG35" s="343">
        <v>0</v>
      </c>
      <c r="AH35" s="342">
        <v>0</v>
      </c>
      <c r="AI35" s="343">
        <v>0</v>
      </c>
      <c r="AJ35" s="314">
        <v>0</v>
      </c>
      <c r="AK35" s="92" t="s">
        <v>401</v>
      </c>
      <c r="AL35" s="314">
        <v>0</v>
      </c>
      <c r="AM35" s="342">
        <v>0</v>
      </c>
      <c r="AN35" s="343">
        <v>0</v>
      </c>
      <c r="AO35" s="342">
        <v>0</v>
      </c>
      <c r="AP35" s="343">
        <v>0</v>
      </c>
      <c r="AQ35" s="342">
        <v>0</v>
      </c>
      <c r="AR35" s="343">
        <v>0</v>
      </c>
      <c r="AS35" s="314">
        <v>0</v>
      </c>
      <c r="AT35" s="345"/>
      <c r="AU35" s="348"/>
      <c r="AV35" s="348"/>
      <c r="AW35" s="348"/>
      <c r="AX35" s="348"/>
      <c r="AY35" s="358"/>
      <c r="AZ35" s="348"/>
      <c r="BA35" s="341"/>
      <c r="BB35" s="348"/>
      <c r="BC35" s="348"/>
      <c r="BD35" s="348"/>
      <c r="BE35" s="348"/>
      <c r="BF35" s="348"/>
      <c r="BG35" s="348"/>
      <c r="BH35" s="348"/>
      <c r="BI35" s="348"/>
      <c r="BJ35" s="348"/>
      <c r="BK35" s="348"/>
      <c r="BL35" s="348"/>
      <c r="BM35" s="348"/>
      <c r="BN35" s="348"/>
      <c r="BO35" s="348"/>
      <c r="BP35" s="348"/>
      <c r="BQ35" s="348"/>
      <c r="BR35" s="348"/>
      <c r="BS35" s="348"/>
      <c r="BT35" s="348"/>
      <c r="BU35" s="348"/>
      <c r="BV35" s="348"/>
      <c r="BW35" s="348"/>
      <c r="BX35" s="348"/>
      <c r="BY35" s="348"/>
      <c r="BZ35" s="348"/>
    </row>
    <row r="36" spans="1:78" ht="17.25" customHeight="1">
      <c r="A36" s="92" t="s">
        <v>77</v>
      </c>
      <c r="B36" s="314">
        <f t="shared" si="7"/>
        <v>12893</v>
      </c>
      <c r="C36" s="342">
        <f t="shared" si="7"/>
        <v>146939</v>
      </c>
      <c r="D36" s="343">
        <f t="shared" si="7"/>
        <v>37567</v>
      </c>
      <c r="E36" s="342">
        <v>0</v>
      </c>
      <c r="F36" s="343">
        <v>0</v>
      </c>
      <c r="G36" s="342">
        <v>0</v>
      </c>
      <c r="H36" s="343">
        <v>0</v>
      </c>
      <c r="I36" s="314">
        <f t="shared" si="8"/>
        <v>2161564</v>
      </c>
      <c r="J36" s="92" t="s">
        <v>77</v>
      </c>
      <c r="K36" s="314">
        <v>7356</v>
      </c>
      <c r="L36" s="342">
        <v>63086</v>
      </c>
      <c r="M36" s="343">
        <v>0</v>
      </c>
      <c r="N36" s="342">
        <v>0</v>
      </c>
      <c r="O36" s="343">
        <v>0</v>
      </c>
      <c r="P36" s="342">
        <v>0</v>
      </c>
      <c r="Q36" s="343">
        <v>0</v>
      </c>
      <c r="R36" s="314">
        <v>1536467</v>
      </c>
      <c r="S36" s="92" t="s">
        <v>77</v>
      </c>
      <c r="T36" s="314">
        <v>5537</v>
      </c>
      <c r="U36" s="342">
        <v>83853</v>
      </c>
      <c r="V36" s="343">
        <v>37567</v>
      </c>
      <c r="W36" s="342">
        <v>3370134.8899999997</v>
      </c>
      <c r="X36" s="343">
        <v>6088282.29</v>
      </c>
      <c r="Y36" s="342">
        <v>356082359.08999985</v>
      </c>
      <c r="Z36" s="343">
        <v>664841840.49000049</v>
      </c>
      <c r="AA36" s="314">
        <v>625097</v>
      </c>
      <c r="AB36" s="357" t="s">
        <v>77</v>
      </c>
      <c r="AC36" s="314">
        <v>0</v>
      </c>
      <c r="AD36" s="342">
        <v>0</v>
      </c>
      <c r="AE36" s="343">
        <v>0</v>
      </c>
      <c r="AF36" s="342">
        <v>0</v>
      </c>
      <c r="AG36" s="343">
        <v>0</v>
      </c>
      <c r="AH36" s="342">
        <v>0</v>
      </c>
      <c r="AI36" s="343">
        <v>0</v>
      </c>
      <c r="AJ36" s="314">
        <v>0</v>
      </c>
      <c r="AK36" s="92" t="s">
        <v>77</v>
      </c>
      <c r="AL36" s="314">
        <v>0</v>
      </c>
      <c r="AM36" s="342">
        <v>0</v>
      </c>
      <c r="AN36" s="343">
        <v>0</v>
      </c>
      <c r="AO36" s="342">
        <v>0</v>
      </c>
      <c r="AP36" s="343">
        <v>0</v>
      </c>
      <c r="AQ36" s="342">
        <v>0</v>
      </c>
      <c r="AR36" s="343">
        <v>0</v>
      </c>
      <c r="AS36" s="314">
        <v>0</v>
      </c>
      <c r="AT36" s="345"/>
      <c r="AU36" s="348"/>
      <c r="AV36" s="348"/>
      <c r="AW36" s="348"/>
      <c r="AX36" s="348"/>
      <c r="AY36" s="358"/>
      <c r="AZ36" s="348"/>
      <c r="BA36" s="341"/>
      <c r="BB36" s="348"/>
      <c r="BC36" s="348"/>
      <c r="BD36" s="348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8"/>
      <c r="BZ36" s="348"/>
    </row>
    <row r="37" spans="1:78" ht="17.25" customHeight="1">
      <c r="A37" s="92" t="s">
        <v>88</v>
      </c>
      <c r="B37" s="314">
        <f t="shared" si="7"/>
        <v>1131</v>
      </c>
      <c r="C37" s="342">
        <f t="shared" si="7"/>
        <v>9581</v>
      </c>
      <c r="D37" s="343">
        <f t="shared" si="7"/>
        <v>1964</v>
      </c>
      <c r="E37" s="342">
        <v>0</v>
      </c>
      <c r="F37" s="343">
        <v>0</v>
      </c>
      <c r="G37" s="342">
        <v>0</v>
      </c>
      <c r="H37" s="343">
        <v>0</v>
      </c>
      <c r="I37" s="314">
        <f t="shared" si="8"/>
        <v>270289</v>
      </c>
      <c r="J37" s="92" t="s">
        <v>88</v>
      </c>
      <c r="K37" s="314">
        <v>805</v>
      </c>
      <c r="L37" s="342">
        <v>7862</v>
      </c>
      <c r="M37" s="343">
        <v>0</v>
      </c>
      <c r="N37" s="342">
        <v>0</v>
      </c>
      <c r="O37" s="343">
        <v>0</v>
      </c>
      <c r="P37" s="342">
        <v>0</v>
      </c>
      <c r="Q37" s="343">
        <v>0</v>
      </c>
      <c r="R37" s="314">
        <v>218463</v>
      </c>
      <c r="S37" s="92" t="s">
        <v>88</v>
      </c>
      <c r="T37" s="314">
        <v>326</v>
      </c>
      <c r="U37" s="342">
        <v>1719</v>
      </c>
      <c r="V37" s="343">
        <v>1964</v>
      </c>
      <c r="W37" s="342">
        <v>107186.5</v>
      </c>
      <c r="X37" s="343">
        <v>192268</v>
      </c>
      <c r="Y37" s="342">
        <v>20158836.5</v>
      </c>
      <c r="Z37" s="343">
        <v>35742697.5</v>
      </c>
      <c r="AA37" s="314">
        <v>51826</v>
      </c>
      <c r="AB37" s="357" t="s">
        <v>88</v>
      </c>
      <c r="AC37" s="314">
        <v>0</v>
      </c>
      <c r="AD37" s="342">
        <v>0</v>
      </c>
      <c r="AE37" s="343">
        <v>0</v>
      </c>
      <c r="AF37" s="342">
        <v>0</v>
      </c>
      <c r="AG37" s="343">
        <v>0</v>
      </c>
      <c r="AH37" s="342">
        <v>0</v>
      </c>
      <c r="AI37" s="343">
        <v>0</v>
      </c>
      <c r="AJ37" s="314">
        <v>0</v>
      </c>
      <c r="AK37" s="92" t="s">
        <v>88</v>
      </c>
      <c r="AL37" s="314">
        <v>0</v>
      </c>
      <c r="AM37" s="342">
        <v>0</v>
      </c>
      <c r="AN37" s="343">
        <v>0</v>
      </c>
      <c r="AO37" s="342">
        <v>0</v>
      </c>
      <c r="AP37" s="343">
        <v>0</v>
      </c>
      <c r="AQ37" s="342">
        <v>0</v>
      </c>
      <c r="AR37" s="343">
        <v>0</v>
      </c>
      <c r="AS37" s="314">
        <v>0</v>
      </c>
      <c r="AT37" s="345"/>
      <c r="AU37" s="348"/>
      <c r="AV37" s="348"/>
      <c r="AW37" s="348"/>
      <c r="AX37" s="348"/>
      <c r="AY37" s="358"/>
      <c r="AZ37" s="348"/>
      <c r="BA37" s="341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</row>
    <row r="38" spans="1:78" ht="17.25" customHeight="1">
      <c r="A38" s="92" t="s">
        <v>85</v>
      </c>
      <c r="B38" s="314">
        <f t="shared" si="7"/>
        <v>2931</v>
      </c>
      <c r="C38" s="342">
        <f t="shared" si="7"/>
        <v>27976</v>
      </c>
      <c r="D38" s="343">
        <f t="shared" si="7"/>
        <v>11226</v>
      </c>
      <c r="E38" s="342">
        <v>0</v>
      </c>
      <c r="F38" s="343">
        <v>0</v>
      </c>
      <c r="G38" s="342">
        <v>0</v>
      </c>
      <c r="H38" s="343">
        <v>0</v>
      </c>
      <c r="I38" s="314">
        <f t="shared" si="8"/>
        <v>792388</v>
      </c>
      <c r="J38" s="92" t="s">
        <v>85</v>
      </c>
      <c r="K38" s="314">
        <v>1287</v>
      </c>
      <c r="L38" s="342">
        <v>14475</v>
      </c>
      <c r="M38" s="343">
        <v>0</v>
      </c>
      <c r="N38" s="342">
        <v>0</v>
      </c>
      <c r="O38" s="343">
        <v>0</v>
      </c>
      <c r="P38" s="342">
        <v>0</v>
      </c>
      <c r="Q38" s="343">
        <v>0</v>
      </c>
      <c r="R38" s="314">
        <v>619265</v>
      </c>
      <c r="S38" s="92" t="s">
        <v>85</v>
      </c>
      <c r="T38" s="314">
        <v>1644</v>
      </c>
      <c r="U38" s="342">
        <v>13501</v>
      </c>
      <c r="V38" s="343">
        <v>11226</v>
      </c>
      <c r="W38" s="342">
        <v>805679.3</v>
      </c>
      <c r="X38" s="343">
        <v>1393573.4</v>
      </c>
      <c r="Y38" s="342">
        <v>74584692.500000015</v>
      </c>
      <c r="Z38" s="343">
        <v>135831087.30000001</v>
      </c>
      <c r="AA38" s="314">
        <v>173123</v>
      </c>
      <c r="AB38" s="357" t="s">
        <v>85</v>
      </c>
      <c r="AC38" s="314">
        <v>0</v>
      </c>
      <c r="AD38" s="342">
        <v>0</v>
      </c>
      <c r="AE38" s="343">
        <v>0</v>
      </c>
      <c r="AF38" s="342">
        <v>0</v>
      </c>
      <c r="AG38" s="343">
        <v>0</v>
      </c>
      <c r="AH38" s="342">
        <v>0</v>
      </c>
      <c r="AI38" s="343">
        <v>0</v>
      </c>
      <c r="AJ38" s="314">
        <v>0</v>
      </c>
      <c r="AK38" s="92" t="s">
        <v>85</v>
      </c>
      <c r="AL38" s="314">
        <v>0</v>
      </c>
      <c r="AM38" s="342">
        <v>0</v>
      </c>
      <c r="AN38" s="343">
        <v>0</v>
      </c>
      <c r="AO38" s="342">
        <v>0</v>
      </c>
      <c r="AP38" s="343">
        <v>0</v>
      </c>
      <c r="AQ38" s="342">
        <v>0</v>
      </c>
      <c r="AR38" s="343">
        <v>0</v>
      </c>
      <c r="AS38" s="314">
        <v>0</v>
      </c>
      <c r="AT38" s="345"/>
      <c r="AU38" s="348"/>
      <c r="AV38" s="348"/>
      <c r="AW38" s="348"/>
      <c r="AX38" s="348"/>
      <c r="AY38" s="358"/>
      <c r="AZ38" s="348"/>
      <c r="BA38" s="341"/>
      <c r="BB38" s="348"/>
      <c r="BC38" s="348"/>
      <c r="BD38" s="348"/>
      <c r="BE38" s="348"/>
      <c r="BF38" s="348"/>
      <c r="BG38" s="348"/>
      <c r="BH38" s="348"/>
      <c r="BI38" s="348"/>
      <c r="BJ38" s="348"/>
      <c r="BK38" s="348"/>
      <c r="BL38" s="348"/>
      <c r="BM38" s="348"/>
      <c r="BN38" s="348"/>
      <c r="BO38" s="348"/>
      <c r="BP38" s="348"/>
      <c r="BQ38" s="348"/>
      <c r="BR38" s="348"/>
      <c r="BS38" s="348"/>
      <c r="BT38" s="348"/>
      <c r="BU38" s="348"/>
      <c r="BV38" s="348"/>
      <c r="BW38" s="348"/>
      <c r="BX38" s="348"/>
      <c r="BY38" s="348"/>
      <c r="BZ38" s="348"/>
    </row>
    <row r="39" spans="1:78" ht="17.25" customHeight="1">
      <c r="A39" s="92" t="s">
        <v>87</v>
      </c>
      <c r="B39" s="314">
        <f t="shared" si="7"/>
        <v>31262</v>
      </c>
      <c r="C39" s="342">
        <f t="shared" si="7"/>
        <v>438709</v>
      </c>
      <c r="D39" s="343">
        <f t="shared" si="7"/>
        <v>201984</v>
      </c>
      <c r="E39" s="342">
        <v>0</v>
      </c>
      <c r="F39" s="343">
        <v>0</v>
      </c>
      <c r="G39" s="342">
        <v>0</v>
      </c>
      <c r="H39" s="343">
        <v>0</v>
      </c>
      <c r="I39" s="314">
        <f t="shared" si="8"/>
        <v>3228961</v>
      </c>
      <c r="J39" s="92" t="s">
        <v>87</v>
      </c>
      <c r="K39" s="314">
        <v>17111</v>
      </c>
      <c r="L39" s="342">
        <v>159562</v>
      </c>
      <c r="M39" s="343">
        <v>0</v>
      </c>
      <c r="N39" s="342">
        <v>0</v>
      </c>
      <c r="O39" s="343">
        <v>0</v>
      </c>
      <c r="P39" s="342">
        <v>0</v>
      </c>
      <c r="Q39" s="343">
        <v>0</v>
      </c>
      <c r="R39" s="314">
        <v>2176042</v>
      </c>
      <c r="S39" s="92" t="s">
        <v>87</v>
      </c>
      <c r="T39" s="314">
        <v>14151</v>
      </c>
      <c r="U39" s="342">
        <v>279147</v>
      </c>
      <c r="V39" s="343">
        <v>201984</v>
      </c>
      <c r="W39" s="342">
        <v>16437588.49</v>
      </c>
      <c r="X39" s="343">
        <v>27923351.390000001</v>
      </c>
      <c r="Y39" s="342">
        <v>1040911179.9899988</v>
      </c>
      <c r="Z39" s="343">
        <v>1817292863.8899984</v>
      </c>
      <c r="AA39" s="314">
        <v>1052919</v>
      </c>
      <c r="AB39" s="357" t="s">
        <v>87</v>
      </c>
      <c r="AC39" s="314">
        <v>0</v>
      </c>
      <c r="AD39" s="342">
        <v>0</v>
      </c>
      <c r="AE39" s="343">
        <v>0</v>
      </c>
      <c r="AF39" s="342">
        <v>0</v>
      </c>
      <c r="AG39" s="343">
        <v>0</v>
      </c>
      <c r="AH39" s="342">
        <v>0</v>
      </c>
      <c r="AI39" s="343">
        <v>0</v>
      </c>
      <c r="AJ39" s="314">
        <v>0</v>
      </c>
      <c r="AK39" s="92" t="s">
        <v>87</v>
      </c>
      <c r="AL39" s="314">
        <v>0</v>
      </c>
      <c r="AM39" s="342">
        <v>0</v>
      </c>
      <c r="AN39" s="343">
        <v>0</v>
      </c>
      <c r="AO39" s="342">
        <v>0</v>
      </c>
      <c r="AP39" s="343">
        <v>0</v>
      </c>
      <c r="AQ39" s="342">
        <v>0</v>
      </c>
      <c r="AR39" s="343">
        <v>0</v>
      </c>
      <c r="AS39" s="314">
        <v>0</v>
      </c>
      <c r="AT39" s="345"/>
      <c r="AU39" s="348"/>
      <c r="AV39" s="348"/>
      <c r="AW39" s="348"/>
      <c r="AX39" s="348"/>
      <c r="AY39" s="358"/>
      <c r="AZ39" s="348"/>
      <c r="BA39" s="341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348"/>
      <c r="BS39" s="348"/>
      <c r="BT39" s="348"/>
      <c r="BU39" s="348"/>
      <c r="BV39" s="348"/>
      <c r="BW39" s="348"/>
      <c r="BX39" s="348"/>
      <c r="BY39" s="348"/>
      <c r="BZ39" s="348"/>
    </row>
    <row r="40" spans="1:78" ht="17.25" customHeight="1">
      <c r="A40" s="92" t="s">
        <v>81</v>
      </c>
      <c r="B40" s="314">
        <f t="shared" si="7"/>
        <v>12459</v>
      </c>
      <c r="C40" s="342">
        <f t="shared" si="7"/>
        <v>164635</v>
      </c>
      <c r="D40" s="343">
        <f t="shared" si="7"/>
        <v>119101</v>
      </c>
      <c r="E40" s="342">
        <v>0</v>
      </c>
      <c r="F40" s="343">
        <v>0</v>
      </c>
      <c r="G40" s="342">
        <v>0</v>
      </c>
      <c r="H40" s="343">
        <v>0</v>
      </c>
      <c r="I40" s="314">
        <f t="shared" si="8"/>
        <v>1452827</v>
      </c>
      <c r="J40" s="92" t="s">
        <v>81</v>
      </c>
      <c r="K40" s="314">
        <v>2377</v>
      </c>
      <c r="L40" s="342">
        <v>27771</v>
      </c>
      <c r="M40" s="343">
        <v>0</v>
      </c>
      <c r="N40" s="342">
        <v>0</v>
      </c>
      <c r="O40" s="343">
        <v>0</v>
      </c>
      <c r="P40" s="342">
        <v>0</v>
      </c>
      <c r="Q40" s="343">
        <v>0</v>
      </c>
      <c r="R40" s="314">
        <v>719029</v>
      </c>
      <c r="S40" s="92" t="s">
        <v>81</v>
      </c>
      <c r="T40" s="314">
        <v>10082</v>
      </c>
      <c r="U40" s="342">
        <v>136864</v>
      </c>
      <c r="V40" s="343">
        <v>119101</v>
      </c>
      <c r="W40" s="342">
        <v>8531322.0800000001</v>
      </c>
      <c r="X40" s="343">
        <v>14751080.98</v>
      </c>
      <c r="Y40" s="342">
        <v>707140107.81999934</v>
      </c>
      <c r="Z40" s="343">
        <v>1267489885.9200008</v>
      </c>
      <c r="AA40" s="314">
        <v>733798</v>
      </c>
      <c r="AB40" s="357" t="s">
        <v>403</v>
      </c>
      <c r="AC40" s="314">
        <v>0</v>
      </c>
      <c r="AD40" s="342">
        <v>0</v>
      </c>
      <c r="AE40" s="343">
        <v>0</v>
      </c>
      <c r="AF40" s="342">
        <v>0</v>
      </c>
      <c r="AG40" s="343">
        <v>0</v>
      </c>
      <c r="AH40" s="342">
        <v>0</v>
      </c>
      <c r="AI40" s="343">
        <v>0</v>
      </c>
      <c r="AJ40" s="314">
        <v>0</v>
      </c>
      <c r="AK40" s="92" t="s">
        <v>403</v>
      </c>
      <c r="AL40" s="314">
        <v>0</v>
      </c>
      <c r="AM40" s="342">
        <v>0</v>
      </c>
      <c r="AN40" s="343">
        <v>0</v>
      </c>
      <c r="AO40" s="342">
        <v>0</v>
      </c>
      <c r="AP40" s="343">
        <v>0</v>
      </c>
      <c r="AQ40" s="342">
        <v>0</v>
      </c>
      <c r="AR40" s="343">
        <v>0</v>
      </c>
      <c r="AS40" s="314">
        <v>0</v>
      </c>
      <c r="AT40" s="345"/>
      <c r="AU40" s="348"/>
      <c r="AV40" s="348"/>
      <c r="AW40" s="348"/>
      <c r="AX40" s="348"/>
      <c r="AY40" s="358"/>
      <c r="AZ40" s="348"/>
      <c r="BA40" s="341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</row>
    <row r="41" spans="1:78" ht="17.25" customHeight="1">
      <c r="A41" s="92" t="s">
        <v>69</v>
      </c>
      <c r="B41" s="314">
        <f t="shared" si="7"/>
        <v>13211</v>
      </c>
      <c r="C41" s="342">
        <f t="shared" si="7"/>
        <v>221014</v>
      </c>
      <c r="D41" s="343">
        <f t="shared" si="7"/>
        <v>162209</v>
      </c>
      <c r="E41" s="342">
        <v>0</v>
      </c>
      <c r="F41" s="343">
        <v>0</v>
      </c>
      <c r="G41" s="342">
        <v>0</v>
      </c>
      <c r="H41" s="343">
        <v>0</v>
      </c>
      <c r="I41" s="314">
        <f t="shared" si="8"/>
        <v>1424002</v>
      </c>
      <c r="J41" s="92" t="s">
        <v>69</v>
      </c>
      <c r="K41" s="314">
        <v>4458</v>
      </c>
      <c r="L41" s="342">
        <v>41719</v>
      </c>
      <c r="M41" s="343">
        <v>0</v>
      </c>
      <c r="N41" s="342">
        <v>0</v>
      </c>
      <c r="O41" s="343">
        <v>0</v>
      </c>
      <c r="P41" s="342">
        <v>0</v>
      </c>
      <c r="Q41" s="343">
        <v>0</v>
      </c>
      <c r="R41" s="314">
        <v>542478</v>
      </c>
      <c r="S41" s="92" t="s">
        <v>69</v>
      </c>
      <c r="T41" s="314">
        <v>8753</v>
      </c>
      <c r="U41" s="342">
        <v>179295</v>
      </c>
      <c r="V41" s="343">
        <v>162209</v>
      </c>
      <c r="W41" s="342">
        <v>11386721.5</v>
      </c>
      <c r="X41" s="343">
        <v>18875623.800000004</v>
      </c>
      <c r="Y41" s="342">
        <v>797984281.65000045</v>
      </c>
      <c r="Z41" s="343">
        <v>1360629890.2499995</v>
      </c>
      <c r="AA41" s="314">
        <v>881524</v>
      </c>
      <c r="AB41" s="357" t="s">
        <v>69</v>
      </c>
      <c r="AC41" s="314">
        <v>0</v>
      </c>
      <c r="AD41" s="342">
        <v>0</v>
      </c>
      <c r="AE41" s="343">
        <v>0</v>
      </c>
      <c r="AF41" s="342">
        <v>0</v>
      </c>
      <c r="AG41" s="343">
        <v>0</v>
      </c>
      <c r="AH41" s="342">
        <v>0</v>
      </c>
      <c r="AI41" s="343">
        <v>0</v>
      </c>
      <c r="AJ41" s="314">
        <v>0</v>
      </c>
      <c r="AK41" s="92" t="s">
        <v>69</v>
      </c>
      <c r="AL41" s="314">
        <v>0</v>
      </c>
      <c r="AM41" s="342">
        <v>0</v>
      </c>
      <c r="AN41" s="343">
        <v>0</v>
      </c>
      <c r="AO41" s="342">
        <v>0</v>
      </c>
      <c r="AP41" s="343">
        <v>0</v>
      </c>
      <c r="AQ41" s="342">
        <v>0</v>
      </c>
      <c r="AR41" s="343">
        <v>0</v>
      </c>
      <c r="AS41" s="314">
        <v>0</v>
      </c>
      <c r="AT41" s="345"/>
      <c r="AU41" s="348"/>
      <c r="AV41" s="348"/>
      <c r="AW41" s="348"/>
      <c r="AX41" s="348"/>
      <c r="AY41" s="358"/>
      <c r="AZ41" s="348"/>
      <c r="BA41" s="341"/>
      <c r="BB41" s="348"/>
      <c r="BC41" s="348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  <c r="BO41" s="348"/>
      <c r="BP41" s="348"/>
      <c r="BQ41" s="348"/>
      <c r="BR41" s="348"/>
      <c r="BS41" s="348"/>
      <c r="BT41" s="348"/>
      <c r="BU41" s="348"/>
      <c r="BV41" s="348"/>
      <c r="BW41" s="348"/>
      <c r="BX41" s="348"/>
      <c r="BY41" s="348"/>
      <c r="BZ41" s="348"/>
    </row>
    <row r="42" spans="1:78" ht="18.75" customHeight="1">
      <c r="A42" s="92" t="s">
        <v>83</v>
      </c>
      <c r="B42" s="314">
        <f t="shared" si="7"/>
        <v>25637</v>
      </c>
      <c r="C42" s="342">
        <f t="shared" si="7"/>
        <v>574162</v>
      </c>
      <c r="D42" s="343">
        <f t="shared" si="7"/>
        <v>379984</v>
      </c>
      <c r="E42" s="342">
        <v>0</v>
      </c>
      <c r="F42" s="343">
        <v>0</v>
      </c>
      <c r="G42" s="342">
        <v>0</v>
      </c>
      <c r="H42" s="343">
        <v>0</v>
      </c>
      <c r="I42" s="314">
        <f t="shared" si="8"/>
        <v>5503529</v>
      </c>
      <c r="J42" s="92" t="s">
        <v>83</v>
      </c>
      <c r="K42" s="314">
        <v>2393</v>
      </c>
      <c r="L42" s="342">
        <v>25557</v>
      </c>
      <c r="M42" s="343">
        <v>0</v>
      </c>
      <c r="N42" s="342">
        <v>0</v>
      </c>
      <c r="O42" s="343">
        <v>0</v>
      </c>
      <c r="P42" s="342">
        <v>0</v>
      </c>
      <c r="Q42" s="343">
        <v>0</v>
      </c>
      <c r="R42" s="314">
        <v>1364498</v>
      </c>
      <c r="S42" s="92" t="s">
        <v>83</v>
      </c>
      <c r="T42" s="314">
        <v>23244</v>
      </c>
      <c r="U42" s="342">
        <v>548605</v>
      </c>
      <c r="V42" s="343">
        <v>379984</v>
      </c>
      <c r="W42" s="342">
        <v>31876030.700000003</v>
      </c>
      <c r="X42" s="343">
        <v>52873103.800000004</v>
      </c>
      <c r="Y42" s="342">
        <v>5419082059.4999733</v>
      </c>
      <c r="Z42" s="343">
        <v>9196481596.2000656</v>
      </c>
      <c r="AA42" s="314">
        <v>4139031</v>
      </c>
      <c r="AB42" s="357" t="s">
        <v>83</v>
      </c>
      <c r="AC42" s="314">
        <v>0</v>
      </c>
      <c r="AD42" s="342">
        <v>0</v>
      </c>
      <c r="AE42" s="343">
        <v>0</v>
      </c>
      <c r="AF42" s="342">
        <v>0</v>
      </c>
      <c r="AG42" s="343">
        <v>0</v>
      </c>
      <c r="AH42" s="342">
        <v>0</v>
      </c>
      <c r="AI42" s="343">
        <v>0</v>
      </c>
      <c r="AJ42" s="314">
        <v>0</v>
      </c>
      <c r="AK42" s="92" t="s">
        <v>83</v>
      </c>
      <c r="AL42" s="314">
        <v>0</v>
      </c>
      <c r="AM42" s="342">
        <v>0</v>
      </c>
      <c r="AN42" s="343">
        <v>0</v>
      </c>
      <c r="AO42" s="342">
        <v>0</v>
      </c>
      <c r="AP42" s="343">
        <v>0</v>
      </c>
      <c r="AQ42" s="342">
        <v>0</v>
      </c>
      <c r="AR42" s="343">
        <v>0</v>
      </c>
      <c r="AS42" s="314">
        <v>0</v>
      </c>
      <c r="AT42" s="348"/>
      <c r="AU42" s="348"/>
      <c r="AV42" s="348"/>
      <c r="AW42" s="348"/>
      <c r="AX42" s="348"/>
      <c r="AY42" s="358"/>
      <c r="AZ42" s="348"/>
      <c r="BA42" s="345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</row>
    <row r="43" spans="1:78" ht="17.25" customHeight="1" thickBot="1">
      <c r="A43" s="120" t="s">
        <v>402</v>
      </c>
      <c r="B43" s="314">
        <f t="shared" si="7"/>
        <v>35337</v>
      </c>
      <c r="C43" s="342">
        <f t="shared" si="7"/>
        <v>698069</v>
      </c>
      <c r="D43" s="343">
        <f t="shared" si="7"/>
        <v>554612</v>
      </c>
      <c r="E43" s="342">
        <v>0</v>
      </c>
      <c r="F43" s="343">
        <v>0</v>
      </c>
      <c r="G43" s="342">
        <v>0</v>
      </c>
      <c r="H43" s="343">
        <v>0</v>
      </c>
      <c r="I43" s="314">
        <f t="shared" si="8"/>
        <v>5917506.8000000007</v>
      </c>
      <c r="J43" s="120" t="s">
        <v>402</v>
      </c>
      <c r="K43" s="314">
        <v>6644</v>
      </c>
      <c r="L43" s="342">
        <v>73571</v>
      </c>
      <c r="M43" s="350">
        <v>0</v>
      </c>
      <c r="N43" s="342">
        <v>0</v>
      </c>
      <c r="O43" s="350">
        <v>0</v>
      </c>
      <c r="P43" s="342">
        <v>0</v>
      </c>
      <c r="Q43" s="350">
        <v>0</v>
      </c>
      <c r="R43" s="314">
        <v>2057754</v>
      </c>
      <c r="S43" s="120" t="s">
        <v>402</v>
      </c>
      <c r="T43" s="314">
        <v>28693</v>
      </c>
      <c r="U43" s="342">
        <v>624498</v>
      </c>
      <c r="V43" s="350">
        <v>554612</v>
      </c>
      <c r="W43" s="342">
        <v>40244527.780000001</v>
      </c>
      <c r="X43" s="350">
        <v>68693578.079999998</v>
      </c>
      <c r="Y43" s="342">
        <v>5080850475.4000072</v>
      </c>
      <c r="Z43" s="350">
        <v>8562648361.5599527</v>
      </c>
      <c r="AA43" s="314">
        <v>3859752.8000000003</v>
      </c>
      <c r="AB43" s="357" t="s">
        <v>402</v>
      </c>
      <c r="AC43" s="314">
        <v>0</v>
      </c>
      <c r="AD43" s="342">
        <v>0</v>
      </c>
      <c r="AE43" s="350">
        <v>0</v>
      </c>
      <c r="AF43" s="342">
        <v>0</v>
      </c>
      <c r="AG43" s="350">
        <v>0</v>
      </c>
      <c r="AH43" s="342">
        <v>0</v>
      </c>
      <c r="AI43" s="350">
        <v>0</v>
      </c>
      <c r="AJ43" s="314">
        <v>0</v>
      </c>
      <c r="AK43" s="120" t="s">
        <v>402</v>
      </c>
      <c r="AL43" s="314">
        <v>0</v>
      </c>
      <c r="AM43" s="342">
        <v>0</v>
      </c>
      <c r="AN43" s="350">
        <v>0</v>
      </c>
      <c r="AO43" s="342">
        <v>0</v>
      </c>
      <c r="AP43" s="350">
        <v>0</v>
      </c>
      <c r="AQ43" s="342">
        <v>0</v>
      </c>
      <c r="AR43" s="350">
        <v>0</v>
      </c>
      <c r="AS43" s="314">
        <v>0</v>
      </c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48"/>
      <c r="BN43" s="348"/>
    </row>
    <row r="44" spans="1:78" ht="20.25" customHeight="1" thickBot="1">
      <c r="A44" s="85" t="s">
        <v>49</v>
      </c>
      <c r="B44" s="351">
        <f t="shared" ref="B44:I44" si="9">SUM(B23:B43)</f>
        <v>447205</v>
      </c>
      <c r="C44" s="352">
        <f t="shared" si="9"/>
        <v>6116762</v>
      </c>
      <c r="D44" s="361">
        <f t="shared" si="9"/>
        <v>3507319</v>
      </c>
      <c r="E44" s="352">
        <f t="shared" si="9"/>
        <v>0</v>
      </c>
      <c r="F44" s="361">
        <f t="shared" si="9"/>
        <v>0</v>
      </c>
      <c r="G44" s="352">
        <f t="shared" si="9"/>
        <v>0</v>
      </c>
      <c r="H44" s="361">
        <f t="shared" si="9"/>
        <v>0</v>
      </c>
      <c r="I44" s="287">
        <f t="shared" si="9"/>
        <v>69302221.799999997</v>
      </c>
      <c r="J44" s="85" t="s">
        <v>49</v>
      </c>
      <c r="K44" s="287">
        <f t="shared" ref="K44:R44" si="10">SUM(K23:K43)</f>
        <v>204657</v>
      </c>
      <c r="L44" s="352">
        <f t="shared" si="10"/>
        <v>1841063</v>
      </c>
      <c r="M44" s="353">
        <f t="shared" si="10"/>
        <v>0</v>
      </c>
      <c r="N44" s="352">
        <f t="shared" si="10"/>
        <v>0</v>
      </c>
      <c r="O44" s="353">
        <f t="shared" si="10"/>
        <v>0</v>
      </c>
      <c r="P44" s="352">
        <f t="shared" si="10"/>
        <v>0</v>
      </c>
      <c r="Q44" s="353">
        <f t="shared" si="10"/>
        <v>0</v>
      </c>
      <c r="R44" s="287">
        <f t="shared" si="10"/>
        <v>43311468.5</v>
      </c>
      <c r="S44" s="85" t="s">
        <v>49</v>
      </c>
      <c r="T44" s="287">
        <f t="shared" ref="T44:AA44" si="11">SUM(T23:T43)</f>
        <v>242548</v>
      </c>
      <c r="U44" s="351">
        <f t="shared" si="11"/>
        <v>4275699</v>
      </c>
      <c r="V44" s="50">
        <f t="shared" si="11"/>
        <v>3507319</v>
      </c>
      <c r="W44" s="351">
        <f t="shared" si="11"/>
        <v>261627534.59999999</v>
      </c>
      <c r="X44" s="50">
        <f t="shared" si="11"/>
        <v>447127695.60000008</v>
      </c>
      <c r="Y44" s="352">
        <f t="shared" si="11"/>
        <v>28781237209.499939</v>
      </c>
      <c r="Z44" s="353">
        <f t="shared" si="11"/>
        <v>49235845145.370003</v>
      </c>
      <c r="AA44" s="287">
        <f t="shared" si="11"/>
        <v>25990753.300000001</v>
      </c>
      <c r="AB44" s="85" t="s">
        <v>49</v>
      </c>
      <c r="AC44" s="287">
        <f t="shared" ref="AC44:AJ44" si="12">SUM(AC23:AC43)</f>
        <v>0</v>
      </c>
      <c r="AD44" s="351">
        <f t="shared" si="12"/>
        <v>0</v>
      </c>
      <c r="AE44" s="50">
        <f t="shared" si="12"/>
        <v>0</v>
      </c>
      <c r="AF44" s="351">
        <f t="shared" si="12"/>
        <v>0</v>
      </c>
      <c r="AG44" s="50">
        <f t="shared" si="12"/>
        <v>0</v>
      </c>
      <c r="AH44" s="351">
        <f t="shared" si="12"/>
        <v>0</v>
      </c>
      <c r="AI44" s="50">
        <f t="shared" si="12"/>
        <v>0</v>
      </c>
      <c r="AJ44" s="287">
        <f t="shared" si="12"/>
        <v>0</v>
      </c>
      <c r="AK44" s="85" t="s">
        <v>49</v>
      </c>
      <c r="AL44" s="287">
        <f>SUM(AL23:AL43)</f>
        <v>0</v>
      </c>
      <c r="AM44" s="351">
        <f>SUM(AM23:AM43)</f>
        <v>0</v>
      </c>
      <c r="AN44" s="50">
        <f>SUM(AN24:AN43)</f>
        <v>0</v>
      </c>
      <c r="AO44" s="351">
        <f>SUM(AO23:AO43)</f>
        <v>0</v>
      </c>
      <c r="AP44" s="50">
        <f>SUM(AP23:AP43)</f>
        <v>0</v>
      </c>
      <c r="AQ44" s="351">
        <f>SUM(AQ23:AQ43)</f>
        <v>0</v>
      </c>
      <c r="AR44" s="50">
        <f>SUM(AR23:AR43)</f>
        <v>0</v>
      </c>
      <c r="AS44" s="287">
        <f>SUM(AS23:AS43)</f>
        <v>0</v>
      </c>
      <c r="AT44" s="348"/>
      <c r="AU44" s="348"/>
      <c r="AV44" s="348"/>
      <c r="AW44" s="348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348"/>
      <c r="BJ44" s="348"/>
      <c r="BK44" s="348"/>
      <c r="BL44" s="348"/>
      <c r="BM44" s="348"/>
      <c r="BN44" s="348"/>
    </row>
    <row r="45" spans="1:78" ht="4.5" customHeight="1"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>
        <f t="shared" ref="AJ45:AS45" si="13">+AJ42-AJ16</f>
        <v>0</v>
      </c>
      <c r="AK45" s="313" t="e">
        <f t="shared" si="13"/>
        <v>#VALUE!</v>
      </c>
      <c r="AL45" s="313">
        <f t="shared" si="13"/>
        <v>0</v>
      </c>
      <c r="AM45" s="313">
        <f t="shared" si="13"/>
        <v>0</v>
      </c>
      <c r="AN45" s="313">
        <f t="shared" si="13"/>
        <v>0</v>
      </c>
      <c r="AO45" s="313">
        <f t="shared" si="13"/>
        <v>0</v>
      </c>
      <c r="AP45" s="313">
        <f t="shared" si="13"/>
        <v>0</v>
      </c>
      <c r="AQ45" s="313">
        <f t="shared" si="13"/>
        <v>0</v>
      </c>
      <c r="AR45" s="313">
        <f t="shared" si="13"/>
        <v>0</v>
      </c>
      <c r="AS45" s="313">
        <f t="shared" si="13"/>
        <v>0</v>
      </c>
    </row>
    <row r="46" spans="1:78">
      <c r="A46" s="3014" t="s">
        <v>443</v>
      </c>
      <c r="B46" s="3014"/>
      <c r="C46" s="3014"/>
      <c r="D46" s="3014"/>
      <c r="E46" s="3014"/>
      <c r="F46" s="3014"/>
      <c r="G46" s="3014"/>
      <c r="H46" s="3014"/>
      <c r="I46" s="3014"/>
      <c r="J46" s="3014" t="s">
        <v>443</v>
      </c>
      <c r="K46" s="3014"/>
      <c r="L46" s="3014"/>
      <c r="M46" s="3014"/>
      <c r="N46" s="3014"/>
      <c r="O46" s="3014"/>
      <c r="P46" s="3014"/>
      <c r="Q46" s="3014"/>
      <c r="R46" s="3014"/>
      <c r="S46" s="3014" t="s">
        <v>443</v>
      </c>
      <c r="T46" s="3014"/>
      <c r="U46" s="3014"/>
      <c r="V46" s="3014"/>
      <c r="W46" s="3014"/>
      <c r="X46" s="3014"/>
      <c r="Y46" s="3014"/>
      <c r="Z46" s="3014"/>
      <c r="AA46" s="3014"/>
    </row>
    <row r="47" spans="1:78" ht="13.5" customHeight="1">
      <c r="A47" s="3015" t="s">
        <v>484</v>
      </c>
      <c r="B47" s="3015"/>
      <c r="C47" s="3015"/>
      <c r="D47" s="3015"/>
      <c r="E47" s="362">
        <f>+E44-E16</f>
        <v>0</v>
      </c>
      <c r="F47" s="362">
        <f>+F44-F16</f>
        <v>0</v>
      </c>
      <c r="G47" s="362">
        <f>+G44-G16</f>
        <v>0</v>
      </c>
      <c r="H47" s="362">
        <f>+H44-H16</f>
        <v>0</v>
      </c>
      <c r="I47" s="313"/>
      <c r="Q47" s="313"/>
    </row>
    <row r="48" spans="1:78" ht="31.5" customHeight="1">
      <c r="A48" s="3015"/>
      <c r="B48" s="3015"/>
      <c r="C48" s="3015"/>
      <c r="D48" s="3015"/>
      <c r="E48" s="363"/>
      <c r="F48" s="363"/>
      <c r="G48" s="363"/>
      <c r="H48" s="363"/>
      <c r="K48" s="313"/>
      <c r="Q48" s="313"/>
      <c r="Z48" s="313"/>
    </row>
    <row r="51" spans="2:27"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</row>
  </sheetData>
  <mergeCells count="74">
    <mergeCell ref="A46:I46"/>
    <mergeCell ref="J46:R46"/>
    <mergeCell ref="S46:AA46"/>
    <mergeCell ref="A47:D48"/>
    <mergeCell ref="AK21:AK22"/>
    <mergeCell ref="AB21:AB22"/>
    <mergeCell ref="AC21:AC22"/>
    <mergeCell ref="AD21:AE21"/>
    <mergeCell ref="AF21:AG21"/>
    <mergeCell ref="AH21:AI21"/>
    <mergeCell ref="AJ21:AJ22"/>
    <mergeCell ref="S21:S22"/>
    <mergeCell ref="T21:T22"/>
    <mergeCell ref="U21:V21"/>
    <mergeCell ref="W21:X21"/>
    <mergeCell ref="Y21:Z21"/>
    <mergeCell ref="AL21:AL22"/>
    <mergeCell ref="AM21:AN21"/>
    <mergeCell ref="AO21:AP21"/>
    <mergeCell ref="AQ21:AR21"/>
    <mergeCell ref="AS21:AS22"/>
    <mergeCell ref="AA21:AA22"/>
    <mergeCell ref="J21:J22"/>
    <mergeCell ref="K21:K22"/>
    <mergeCell ref="L21:M21"/>
    <mergeCell ref="N21:O21"/>
    <mergeCell ref="P21:Q21"/>
    <mergeCell ref="R21:R22"/>
    <mergeCell ref="A21:A22"/>
    <mergeCell ref="B21:B22"/>
    <mergeCell ref="C21:D21"/>
    <mergeCell ref="E21:F21"/>
    <mergeCell ref="G21:H21"/>
    <mergeCell ref="I21:I22"/>
    <mergeCell ref="AS2:AS3"/>
    <mergeCell ref="A20:I20"/>
    <mergeCell ref="J20:R20"/>
    <mergeCell ref="S20:AA20"/>
    <mergeCell ref="AB20:AJ20"/>
    <mergeCell ref="AK20:AS20"/>
    <mergeCell ref="AJ2:AJ3"/>
    <mergeCell ref="AK2:AK3"/>
    <mergeCell ref="AL2:AL3"/>
    <mergeCell ref="AM2:AN2"/>
    <mergeCell ref="AO2:AP2"/>
    <mergeCell ref="AQ2:AR2"/>
    <mergeCell ref="AA2:AA3"/>
    <mergeCell ref="AB2:AB3"/>
    <mergeCell ref="AC2:AC3"/>
    <mergeCell ref="AD2:AE2"/>
    <mergeCell ref="AF2:AG2"/>
    <mergeCell ref="AH2:AI2"/>
    <mergeCell ref="R2:R3"/>
    <mergeCell ref="S2:S3"/>
    <mergeCell ref="T2:T3"/>
    <mergeCell ref="U2:V2"/>
    <mergeCell ref="W2:X2"/>
    <mergeCell ref="Y2:Z2"/>
    <mergeCell ref="AK1:AS1"/>
    <mergeCell ref="A2:A3"/>
    <mergeCell ref="B2:B3"/>
    <mergeCell ref="C2:D2"/>
    <mergeCell ref="E2:F2"/>
    <mergeCell ref="G2:H2"/>
    <mergeCell ref="P2:Q2"/>
    <mergeCell ref="A1:I1"/>
    <mergeCell ref="J1:R1"/>
    <mergeCell ref="S1:AA1"/>
    <mergeCell ref="AB1:AJ1"/>
    <mergeCell ref="I2:I3"/>
    <mergeCell ref="J2:J3"/>
    <mergeCell ref="K2:K3"/>
    <mergeCell ref="L2:M2"/>
    <mergeCell ref="N2:O2"/>
  </mergeCells>
  <printOptions horizontalCentered="1" verticalCentered="1"/>
  <pageMargins left="0.19685039370078741" right="0.19685039370078741" top="0.39370078740157483" bottom="0.39370078740157483" header="0" footer="0"/>
  <pageSetup paperSize="9" scale="90" firstPageNumber="57" pageOrder="overThenDown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F162"/>
  <sheetViews>
    <sheetView rightToLeft="1" topLeftCell="A148" workbookViewId="0">
      <selection sqref="A1:D162"/>
    </sheetView>
  </sheetViews>
  <sheetFormatPr defaultColWidth="9" defaultRowHeight="18"/>
  <cols>
    <col min="1" max="1" width="8.625" style="214" customWidth="1"/>
    <col min="2" max="2" width="148.125" style="214" hidden="1" customWidth="1"/>
    <col min="3" max="3" width="1" style="214" customWidth="1"/>
    <col min="4" max="4" width="62.875" style="214" customWidth="1"/>
    <col min="5" max="5" width="9.375" style="365" hidden="1" customWidth="1"/>
    <col min="6" max="6" width="14.875" style="365" hidden="1" customWidth="1"/>
    <col min="7" max="16384" width="9" style="214"/>
  </cols>
  <sheetData>
    <row r="1" spans="1:6" ht="39" customHeight="1">
      <c r="A1" s="3017"/>
      <c r="B1" s="3017"/>
      <c r="D1" s="364" t="s">
        <v>485</v>
      </c>
    </row>
    <row r="2" spans="1:6" s="367" customFormat="1" ht="39" customHeight="1">
      <c r="A2" s="366"/>
      <c r="B2" s="366"/>
      <c r="D2" s="368" t="s">
        <v>486</v>
      </c>
      <c r="E2" s="369" t="s">
        <v>487</v>
      </c>
      <c r="F2" s="369" t="s">
        <v>488</v>
      </c>
    </row>
    <row r="3" spans="1:6" s="367" customFormat="1" ht="24.75">
      <c r="A3" s="370">
        <v>1</v>
      </c>
      <c r="B3" s="371" t="s">
        <v>489</v>
      </c>
      <c r="D3" s="372" t="s">
        <v>490</v>
      </c>
      <c r="E3" s="373">
        <v>339.82799999999997</v>
      </c>
      <c r="F3" s="373">
        <v>100.119108</v>
      </c>
    </row>
    <row r="4" spans="1:6" s="367" customFormat="1" ht="24.75">
      <c r="A4" s="370">
        <v>2</v>
      </c>
      <c r="B4" s="371" t="s">
        <v>491</v>
      </c>
      <c r="D4" s="372" t="s">
        <v>492</v>
      </c>
      <c r="E4" s="373">
        <v>261.02</v>
      </c>
      <c r="F4" s="373">
        <v>258.56307299999997</v>
      </c>
    </row>
    <row r="5" spans="1:6" s="367" customFormat="1" ht="24.75">
      <c r="A5" s="370">
        <v>3</v>
      </c>
      <c r="B5" s="371" t="s">
        <v>493</v>
      </c>
      <c r="D5" s="372" t="s">
        <v>494</v>
      </c>
      <c r="E5" s="373">
        <v>211.98700000000002</v>
      </c>
      <c r="F5" s="373">
        <v>31.798049999999996</v>
      </c>
    </row>
    <row r="6" spans="1:6" s="367" customFormat="1" ht="24.75">
      <c r="A6" s="370">
        <v>4</v>
      </c>
      <c r="B6" s="371" t="s">
        <v>495</v>
      </c>
      <c r="D6" s="372" t="s">
        <v>496</v>
      </c>
      <c r="E6" s="373">
        <v>99.582999999999998</v>
      </c>
      <c r="F6" s="373">
        <v>70.491619</v>
      </c>
    </row>
    <row r="7" spans="1:6" s="367" customFormat="1" ht="24.75">
      <c r="A7" s="370">
        <v>5</v>
      </c>
      <c r="B7" s="371" t="s">
        <v>497</v>
      </c>
      <c r="D7" s="372" t="s">
        <v>498</v>
      </c>
      <c r="E7" s="373">
        <v>92.091999999999999</v>
      </c>
      <c r="F7" s="373">
        <v>13.813800000000001</v>
      </c>
    </row>
    <row r="8" spans="1:6" s="367" customFormat="1" ht="24.75">
      <c r="A8" s="370">
        <v>6</v>
      </c>
      <c r="B8" s="371" t="s">
        <v>499</v>
      </c>
      <c r="D8" s="372" t="s">
        <v>500</v>
      </c>
      <c r="E8" s="373">
        <v>86.32</v>
      </c>
      <c r="F8" s="373">
        <v>140.152691</v>
      </c>
    </row>
    <row r="9" spans="1:6" s="367" customFormat="1" ht="24.75">
      <c r="A9" s="370">
        <v>7</v>
      </c>
      <c r="B9" s="371"/>
      <c r="D9" s="372" t="s">
        <v>501</v>
      </c>
      <c r="E9" s="373">
        <v>67.646000000000001</v>
      </c>
      <c r="F9" s="373">
        <v>52.080582999999997</v>
      </c>
    </row>
    <row r="10" spans="1:6" s="367" customFormat="1" ht="24.75">
      <c r="A10" s="370">
        <v>8</v>
      </c>
      <c r="B10" s="371"/>
      <c r="D10" s="372" t="s">
        <v>502</v>
      </c>
      <c r="E10" s="373">
        <v>60.28</v>
      </c>
      <c r="F10" s="373">
        <v>27.747066</v>
      </c>
    </row>
    <row r="11" spans="1:6" s="367" customFormat="1" ht="24.75">
      <c r="A11" s="370">
        <v>9</v>
      </c>
      <c r="B11" s="371"/>
      <c r="D11" s="372" t="s">
        <v>503</v>
      </c>
      <c r="E11" s="373">
        <v>42.451999999999998</v>
      </c>
      <c r="F11" s="373">
        <v>70.912329999999997</v>
      </c>
    </row>
    <row r="12" spans="1:6" s="367" customFormat="1" ht="24.75">
      <c r="A12" s="370">
        <v>10</v>
      </c>
      <c r="B12" s="371"/>
      <c r="D12" s="372" t="s">
        <v>504</v>
      </c>
      <c r="E12" s="373">
        <v>39.674999999999997</v>
      </c>
      <c r="F12" s="373">
        <v>33.880667000000003</v>
      </c>
    </row>
    <row r="13" spans="1:6" s="367" customFormat="1" ht="24.75">
      <c r="A13" s="370">
        <v>11</v>
      </c>
      <c r="B13" s="371"/>
      <c r="D13" s="372" t="s">
        <v>505</v>
      </c>
      <c r="E13" s="373">
        <v>36.152999999999999</v>
      </c>
      <c r="F13" s="373">
        <v>71.928961000000001</v>
      </c>
    </row>
    <row r="14" spans="1:6" s="367" customFormat="1" ht="24.75">
      <c r="A14" s="370">
        <v>12</v>
      </c>
      <c r="B14" s="371"/>
      <c r="D14" s="372" t="s">
        <v>506</v>
      </c>
      <c r="E14" s="373">
        <v>31.689</v>
      </c>
      <c r="F14" s="373">
        <v>30.987881000000002</v>
      </c>
    </row>
    <row r="15" spans="1:6" s="367" customFormat="1" ht="24.75">
      <c r="A15" s="370">
        <v>13</v>
      </c>
      <c r="B15" s="371"/>
      <c r="D15" s="372" t="s">
        <v>507</v>
      </c>
      <c r="E15" s="373">
        <v>30.696999999999999</v>
      </c>
      <c r="F15" s="373">
        <v>30.131896000000005</v>
      </c>
    </row>
    <row r="16" spans="1:6" s="367" customFormat="1" ht="24.75">
      <c r="A16" s="370">
        <v>14</v>
      </c>
      <c r="B16" s="371"/>
      <c r="D16" s="372" t="s">
        <v>508</v>
      </c>
      <c r="E16" s="373">
        <v>28.201000000000001</v>
      </c>
      <c r="F16" s="373">
        <v>34.528289000000001</v>
      </c>
    </row>
    <row r="17" spans="1:6" s="367" customFormat="1" ht="24.75">
      <c r="A17" s="370">
        <v>15</v>
      </c>
      <c r="B17" s="371"/>
      <c r="D17" s="372" t="s">
        <v>509</v>
      </c>
      <c r="E17" s="373">
        <v>27.471</v>
      </c>
      <c r="F17" s="373">
        <v>27.454601000000004</v>
      </c>
    </row>
    <row r="18" spans="1:6" s="367" customFormat="1" ht="24.75">
      <c r="A18" s="370">
        <v>16</v>
      </c>
      <c r="B18" s="371"/>
      <c r="D18" s="372" t="s">
        <v>510</v>
      </c>
      <c r="E18" s="373">
        <v>20.245000000000001</v>
      </c>
      <c r="F18" s="373">
        <v>15.321616000000002</v>
      </c>
    </row>
    <row r="19" spans="1:6" s="367" customFormat="1" ht="24.75">
      <c r="A19" s="370">
        <v>17</v>
      </c>
      <c r="B19" s="371"/>
      <c r="D19" s="372" t="s">
        <v>511</v>
      </c>
      <c r="E19" s="373">
        <v>19.295999999999999</v>
      </c>
      <c r="F19" s="373">
        <v>16.901461999999999</v>
      </c>
    </row>
    <row r="20" spans="1:6" s="367" customFormat="1" ht="24.75">
      <c r="A20" s="370">
        <v>18</v>
      </c>
      <c r="B20" s="371"/>
      <c r="D20" s="372" t="s">
        <v>512</v>
      </c>
      <c r="E20" s="373">
        <v>18.899999999999999</v>
      </c>
      <c r="F20" s="373">
        <v>30.686816</v>
      </c>
    </row>
    <row r="21" spans="1:6" s="367" customFormat="1" ht="24.75">
      <c r="A21" s="370">
        <v>19</v>
      </c>
      <c r="B21" s="371"/>
      <c r="D21" s="372" t="s">
        <v>513</v>
      </c>
      <c r="E21" s="373">
        <v>16.062999999999999</v>
      </c>
      <c r="F21" s="373">
        <v>15.211275000000001</v>
      </c>
    </row>
    <row r="22" spans="1:6" s="367" customFormat="1" ht="24.75">
      <c r="A22" s="370">
        <v>20</v>
      </c>
      <c r="B22" s="371"/>
      <c r="D22" s="372" t="s">
        <v>514</v>
      </c>
      <c r="E22" s="373">
        <v>14.808</v>
      </c>
      <c r="F22" s="373">
        <v>16.148344999999999</v>
      </c>
    </row>
    <row r="23" spans="1:6" s="367" customFormat="1" ht="24.75">
      <c r="A23" s="370">
        <v>21</v>
      </c>
      <c r="B23" s="371"/>
      <c r="D23" s="372" t="s">
        <v>515</v>
      </c>
      <c r="E23" s="373">
        <v>14.512999999999998</v>
      </c>
      <c r="F23" s="373">
        <v>11.949021</v>
      </c>
    </row>
    <row r="24" spans="1:6" s="367" customFormat="1" ht="24.75">
      <c r="A24" s="370">
        <v>22</v>
      </c>
      <c r="B24" s="371"/>
      <c r="D24" s="372" t="s">
        <v>516</v>
      </c>
      <c r="E24" s="373">
        <v>13.457000000000001</v>
      </c>
      <c r="F24" s="373">
        <v>18.478372</v>
      </c>
    </row>
    <row r="25" spans="1:6" s="367" customFormat="1" ht="24.75">
      <c r="A25" s="370">
        <v>23</v>
      </c>
      <c r="B25" s="371"/>
      <c r="D25" s="372" t="s">
        <v>517</v>
      </c>
      <c r="E25" s="373">
        <v>12.343</v>
      </c>
      <c r="F25" s="373">
        <v>22.575965</v>
      </c>
    </row>
    <row r="26" spans="1:6" s="367" customFormat="1" ht="24.75">
      <c r="A26" s="370">
        <v>24</v>
      </c>
      <c r="B26" s="371"/>
      <c r="D26" s="372" t="s">
        <v>518</v>
      </c>
      <c r="E26" s="373">
        <v>10.61</v>
      </c>
      <c r="F26" s="373">
        <v>18.642990999999999</v>
      </c>
    </row>
    <row r="27" spans="1:6" s="367" customFormat="1" ht="24.75">
      <c r="A27" s="370">
        <v>25</v>
      </c>
      <c r="B27" s="371"/>
      <c r="D27" s="372" t="s">
        <v>519</v>
      </c>
      <c r="E27" s="373">
        <v>711.73199999999997</v>
      </c>
      <c r="F27" s="373">
        <v>855.94794000000002</v>
      </c>
    </row>
    <row r="28" spans="1:6" s="367" customFormat="1" ht="24.75">
      <c r="A28" s="370">
        <v>26</v>
      </c>
      <c r="B28" s="371"/>
      <c r="D28" s="372" t="s">
        <v>520</v>
      </c>
      <c r="E28" s="373">
        <v>295.46100000000001</v>
      </c>
      <c r="F28" s="373">
        <v>91.188311999999996</v>
      </c>
    </row>
    <row r="29" spans="1:6" s="367" customFormat="1" ht="24.75">
      <c r="A29" s="370">
        <v>27</v>
      </c>
      <c r="B29" s="371"/>
      <c r="D29" s="372" t="s">
        <v>521</v>
      </c>
      <c r="E29" s="373">
        <v>260.06099999999998</v>
      </c>
      <c r="F29" s="373">
        <v>229.41359700000001</v>
      </c>
    </row>
    <row r="30" spans="1:6" s="367" customFormat="1" ht="24.75">
      <c r="A30" s="370">
        <v>28</v>
      </c>
      <c r="B30" s="371"/>
      <c r="D30" s="372" t="s">
        <v>522</v>
      </c>
      <c r="E30" s="373">
        <v>243.577</v>
      </c>
      <c r="F30" s="373">
        <v>55.855615</v>
      </c>
    </row>
    <row r="31" spans="1:6" s="367" customFormat="1" ht="24.75">
      <c r="A31" s="370">
        <v>29</v>
      </c>
      <c r="B31" s="371"/>
      <c r="D31" s="372" t="s">
        <v>523</v>
      </c>
      <c r="E31" s="373">
        <v>232.23599999999999</v>
      </c>
      <c r="F31" s="373">
        <v>193.51763800000001</v>
      </c>
    </row>
    <row r="32" spans="1:6" s="367" customFormat="1" ht="24.75">
      <c r="A32" s="370">
        <v>30</v>
      </c>
      <c r="B32" s="371"/>
      <c r="D32" s="372" t="s">
        <v>524</v>
      </c>
      <c r="E32" s="373">
        <v>195.46299999999999</v>
      </c>
      <c r="F32" s="373">
        <v>29.31945</v>
      </c>
    </row>
    <row r="33" spans="1:6" s="367" customFormat="1" ht="24.75">
      <c r="A33" s="370">
        <v>31</v>
      </c>
      <c r="B33" s="371"/>
      <c r="D33" s="372" t="s">
        <v>525</v>
      </c>
      <c r="E33" s="373">
        <v>191.374</v>
      </c>
      <c r="F33" s="373">
        <v>34.776867000000003</v>
      </c>
    </row>
    <row r="34" spans="1:6" s="367" customFormat="1" ht="24.75">
      <c r="A34" s="370">
        <v>32</v>
      </c>
      <c r="B34" s="371"/>
      <c r="D34" s="372" t="s">
        <v>526</v>
      </c>
      <c r="E34" s="373">
        <v>166.78</v>
      </c>
      <c r="F34" s="373">
        <v>108.35015199999999</v>
      </c>
    </row>
    <row r="35" spans="1:6" s="367" customFormat="1" ht="24.75">
      <c r="A35" s="370">
        <v>33</v>
      </c>
      <c r="B35" s="371"/>
      <c r="D35" s="372" t="s">
        <v>527</v>
      </c>
      <c r="E35" s="373">
        <v>162.55600000000001</v>
      </c>
      <c r="F35" s="373">
        <v>262.88636500000001</v>
      </c>
    </row>
    <row r="36" spans="1:6" s="367" customFormat="1" ht="24.75">
      <c r="A36" s="370">
        <v>34</v>
      </c>
      <c r="B36" s="371"/>
      <c r="D36" s="372" t="s">
        <v>528</v>
      </c>
      <c r="E36" s="373">
        <v>145.86500000000001</v>
      </c>
      <c r="F36" s="373">
        <v>70.885283000000001</v>
      </c>
    </row>
    <row r="37" spans="1:6" s="367" customFormat="1" ht="24.75">
      <c r="A37" s="370">
        <v>35</v>
      </c>
      <c r="B37" s="371"/>
      <c r="D37" s="372" t="s">
        <v>529</v>
      </c>
      <c r="E37" s="373">
        <v>124.511</v>
      </c>
      <c r="F37" s="373">
        <v>183.04162700000001</v>
      </c>
    </row>
    <row r="38" spans="1:6" s="367" customFormat="1" ht="24.75">
      <c r="A38" s="370">
        <v>36</v>
      </c>
      <c r="B38" s="371"/>
      <c r="D38" s="372" t="s">
        <v>530</v>
      </c>
      <c r="E38" s="373">
        <v>109.081</v>
      </c>
      <c r="F38" s="373">
        <v>17.291630999999999</v>
      </c>
    </row>
    <row r="39" spans="1:6" s="367" customFormat="1" ht="24.75">
      <c r="A39" s="370">
        <v>37</v>
      </c>
      <c r="B39" s="371"/>
      <c r="D39" s="372" t="s">
        <v>531</v>
      </c>
      <c r="E39" s="373">
        <v>100.298</v>
      </c>
      <c r="F39" s="373">
        <v>15.044700000000001</v>
      </c>
    </row>
    <row r="40" spans="1:6" s="367" customFormat="1" ht="24.75">
      <c r="A40" s="370">
        <v>38</v>
      </c>
      <c r="B40" s="371"/>
      <c r="D40" s="372" t="s">
        <v>532</v>
      </c>
      <c r="E40" s="373">
        <v>84.772000000000006</v>
      </c>
      <c r="F40" s="373">
        <v>107.066526</v>
      </c>
    </row>
    <row r="41" spans="1:6" s="367" customFormat="1" ht="24.75">
      <c r="A41" s="370">
        <v>39</v>
      </c>
      <c r="B41" s="371"/>
      <c r="D41" s="372" t="s">
        <v>533</v>
      </c>
      <c r="E41" s="373">
        <v>79.031000000000006</v>
      </c>
      <c r="F41" s="373">
        <v>50.789033000000003</v>
      </c>
    </row>
    <row r="42" spans="1:6" s="367" customFormat="1" ht="24.75">
      <c r="A42" s="370">
        <v>40</v>
      </c>
      <c r="B42" s="371"/>
      <c r="D42" s="372" t="s">
        <v>534</v>
      </c>
      <c r="E42" s="373">
        <v>78.409000000000006</v>
      </c>
      <c r="F42" s="373">
        <v>92.771485999999996</v>
      </c>
    </row>
    <row r="43" spans="1:6" s="367" customFormat="1" ht="24.75">
      <c r="A43" s="370">
        <v>41</v>
      </c>
      <c r="B43" s="371"/>
      <c r="D43" s="372" t="s">
        <v>535</v>
      </c>
      <c r="E43" s="373">
        <v>70.614999999999995</v>
      </c>
      <c r="F43" s="373">
        <v>114.198927</v>
      </c>
    </row>
    <row r="44" spans="1:6" s="367" customFormat="1" ht="24.75">
      <c r="A44" s="370">
        <v>42</v>
      </c>
      <c r="B44" s="371"/>
      <c r="D44" s="372" t="s">
        <v>536</v>
      </c>
      <c r="E44" s="373">
        <v>70.076999999999998</v>
      </c>
      <c r="F44" s="373">
        <v>100.92777</v>
      </c>
    </row>
    <row r="45" spans="1:6" s="367" customFormat="1" ht="24.75">
      <c r="A45" s="370">
        <v>43</v>
      </c>
      <c r="B45" s="371"/>
      <c r="D45" s="372" t="s">
        <v>537</v>
      </c>
      <c r="E45" s="373">
        <v>66.453999999999994</v>
      </c>
      <c r="F45" s="373">
        <v>49.0184</v>
      </c>
    </row>
    <row r="46" spans="1:6" s="367" customFormat="1" ht="24.75">
      <c r="A46" s="370">
        <v>44</v>
      </c>
      <c r="B46" s="371"/>
      <c r="D46" s="372" t="s">
        <v>538</v>
      </c>
      <c r="E46" s="373">
        <v>65.584000000000003</v>
      </c>
      <c r="F46" s="373">
        <v>21.309947999999999</v>
      </c>
    </row>
    <row r="47" spans="1:6" s="367" customFormat="1" ht="24.75">
      <c r="A47" s="370">
        <v>45</v>
      </c>
      <c r="B47" s="371"/>
      <c r="D47" s="372" t="s">
        <v>539</v>
      </c>
      <c r="E47" s="373">
        <v>63.561999999999998</v>
      </c>
      <c r="F47" s="373">
        <v>43.597436999999999</v>
      </c>
    </row>
    <row r="48" spans="1:6" s="367" customFormat="1" ht="24.75">
      <c r="A48" s="370">
        <v>46</v>
      </c>
      <c r="B48" s="371"/>
      <c r="D48" s="372" t="s">
        <v>540</v>
      </c>
      <c r="E48" s="373">
        <v>62.869</v>
      </c>
      <c r="F48" s="373">
        <v>36.187173999999999</v>
      </c>
    </row>
    <row r="49" spans="1:6" s="367" customFormat="1" ht="24.75">
      <c r="A49" s="370">
        <v>47</v>
      </c>
      <c r="B49" s="371"/>
      <c r="D49" s="372" t="s">
        <v>541</v>
      </c>
      <c r="E49" s="373">
        <v>62.731000000000002</v>
      </c>
      <c r="F49" s="373">
        <v>99.008796000000004</v>
      </c>
    </row>
    <row r="50" spans="1:6" s="367" customFormat="1" ht="24.75">
      <c r="A50" s="370">
        <v>48</v>
      </c>
      <c r="B50" s="371"/>
      <c r="D50" s="372" t="s">
        <v>542</v>
      </c>
      <c r="E50" s="373">
        <v>59.832000000000001</v>
      </c>
      <c r="F50" s="373">
        <v>113.919416</v>
      </c>
    </row>
    <row r="51" spans="1:6" s="367" customFormat="1" ht="24.75">
      <c r="A51" s="370">
        <v>49</v>
      </c>
      <c r="B51" s="371"/>
      <c r="D51" s="372" t="s">
        <v>543</v>
      </c>
      <c r="E51" s="373">
        <v>54.476999999999997</v>
      </c>
      <c r="F51" s="373">
        <v>42.03049</v>
      </c>
    </row>
    <row r="52" spans="1:6" s="367" customFormat="1" ht="24.75">
      <c r="A52" s="370">
        <v>50</v>
      </c>
      <c r="B52" s="371"/>
      <c r="D52" s="372" t="s">
        <v>544</v>
      </c>
      <c r="E52" s="373">
        <v>53.838999999999999</v>
      </c>
      <c r="F52" s="373">
        <v>27.023461999999999</v>
      </c>
    </row>
    <row r="53" spans="1:6" s="367" customFormat="1" ht="24.75">
      <c r="A53" s="370">
        <v>51</v>
      </c>
      <c r="B53" s="371"/>
      <c r="D53" s="372" t="s">
        <v>545</v>
      </c>
      <c r="E53" s="373">
        <v>49.311</v>
      </c>
      <c r="F53" s="373">
        <v>53.284061000000001</v>
      </c>
    </row>
    <row r="54" spans="1:6" s="367" customFormat="1" ht="24.75">
      <c r="A54" s="370">
        <v>52</v>
      </c>
      <c r="B54" s="371"/>
      <c r="D54" s="372" t="s">
        <v>546</v>
      </c>
      <c r="E54" s="373">
        <v>41.066000000000003</v>
      </c>
      <c r="F54" s="373">
        <v>52.762335999999998</v>
      </c>
    </row>
    <row r="55" spans="1:6" s="367" customFormat="1" ht="24.75">
      <c r="A55" s="370">
        <v>53</v>
      </c>
      <c r="B55" s="371"/>
      <c r="D55" s="372" t="s">
        <v>547</v>
      </c>
      <c r="E55" s="373">
        <v>39.874000000000002</v>
      </c>
      <c r="F55" s="373">
        <v>19.833568</v>
      </c>
    </row>
    <row r="56" spans="1:6" s="367" customFormat="1" ht="24.75">
      <c r="A56" s="370">
        <v>54</v>
      </c>
      <c r="B56" s="371"/>
      <c r="D56" s="372" t="s">
        <v>548</v>
      </c>
      <c r="E56" s="373">
        <v>37.762999999999998</v>
      </c>
      <c r="F56" s="373">
        <v>56.266212000000003</v>
      </c>
    </row>
    <row r="57" spans="1:6" s="367" customFormat="1" ht="24.75">
      <c r="A57" s="370">
        <v>55</v>
      </c>
      <c r="B57" s="371"/>
      <c r="D57" s="372" t="s">
        <v>549</v>
      </c>
      <c r="E57" s="373">
        <v>32.779000000000003</v>
      </c>
      <c r="F57" s="373">
        <v>33.008617000000001</v>
      </c>
    </row>
    <row r="58" spans="1:6" s="367" customFormat="1" ht="24.75">
      <c r="A58" s="370">
        <v>56</v>
      </c>
      <c r="B58" s="371"/>
      <c r="D58" s="372" t="s">
        <v>550</v>
      </c>
      <c r="E58" s="373">
        <v>30.99</v>
      </c>
      <c r="F58" s="373">
        <v>26.753883999999999</v>
      </c>
    </row>
    <row r="59" spans="1:6" s="367" customFormat="1" ht="24.75">
      <c r="A59" s="370">
        <v>57</v>
      </c>
      <c r="B59" s="371"/>
      <c r="D59" s="372" t="s">
        <v>551</v>
      </c>
      <c r="E59" s="373">
        <v>28.271000000000001</v>
      </c>
      <c r="F59" s="373">
        <v>34.613996</v>
      </c>
    </row>
    <row r="60" spans="1:6" s="367" customFormat="1" ht="24.75">
      <c r="A60" s="370">
        <v>58</v>
      </c>
      <c r="B60" s="371"/>
      <c r="D60" s="372" t="s">
        <v>552</v>
      </c>
      <c r="E60" s="373">
        <v>27.332000000000001</v>
      </c>
      <c r="F60" s="373">
        <v>40.705741000000003</v>
      </c>
    </row>
    <row r="61" spans="1:6" s="367" customFormat="1" ht="24.75">
      <c r="A61" s="370">
        <v>59</v>
      </c>
      <c r="B61" s="371"/>
      <c r="D61" s="372" t="s">
        <v>553</v>
      </c>
      <c r="E61" s="373">
        <v>22.902000000000001</v>
      </c>
      <c r="F61" s="373">
        <v>31.686793000000002</v>
      </c>
    </row>
    <row r="62" spans="1:6" s="367" customFormat="1" ht="24.75">
      <c r="A62" s="370">
        <v>60</v>
      </c>
      <c r="B62" s="371"/>
      <c r="D62" s="372" t="s">
        <v>554</v>
      </c>
      <c r="E62" s="373">
        <v>22.704999999999998</v>
      </c>
      <c r="F62" s="373">
        <v>30.982063</v>
      </c>
    </row>
    <row r="63" spans="1:6" s="367" customFormat="1" ht="24.75">
      <c r="A63" s="370">
        <v>61</v>
      </c>
      <c r="B63" s="371"/>
      <c r="D63" s="372" t="s">
        <v>555</v>
      </c>
      <c r="E63" s="373">
        <v>18.989000000000001</v>
      </c>
      <c r="F63" s="373">
        <v>23.229489000000001</v>
      </c>
    </row>
    <row r="64" spans="1:6" s="367" customFormat="1" ht="24.75">
      <c r="A64" s="370">
        <v>62</v>
      </c>
      <c r="B64" s="371"/>
      <c r="D64" s="372" t="s">
        <v>556</v>
      </c>
      <c r="E64" s="373">
        <v>18.387</v>
      </c>
      <c r="F64" s="373">
        <v>16.961126</v>
      </c>
    </row>
    <row r="65" spans="1:6" s="367" customFormat="1" ht="24.75">
      <c r="A65" s="370">
        <v>63</v>
      </c>
      <c r="B65" s="371"/>
      <c r="D65" s="372" t="s">
        <v>557</v>
      </c>
      <c r="E65" s="373">
        <v>17.492999999999999</v>
      </c>
      <c r="F65" s="373">
        <v>29.212401</v>
      </c>
    </row>
    <row r="66" spans="1:6" s="367" customFormat="1" ht="24.75">
      <c r="A66" s="370">
        <v>64</v>
      </c>
      <c r="B66" s="371"/>
      <c r="D66" s="372" t="s">
        <v>558</v>
      </c>
      <c r="E66" s="373">
        <v>17.001999999999999</v>
      </c>
      <c r="F66" s="373">
        <v>22.887574999999998</v>
      </c>
    </row>
    <row r="67" spans="1:6" s="367" customFormat="1" ht="24.75">
      <c r="A67" s="370">
        <v>65</v>
      </c>
      <c r="B67" s="371"/>
      <c r="D67" s="372" t="s">
        <v>559</v>
      </c>
      <c r="E67" s="373">
        <v>16.742000000000001</v>
      </c>
      <c r="F67" s="373">
        <v>18.970261000000001</v>
      </c>
    </row>
    <row r="68" spans="1:6" s="367" customFormat="1" ht="24.75">
      <c r="A68" s="370">
        <v>66</v>
      </c>
      <c r="B68" s="371"/>
      <c r="D68" s="372" t="s">
        <v>560</v>
      </c>
      <c r="E68" s="373">
        <v>12.702</v>
      </c>
      <c r="F68" s="373">
        <v>25.844607</v>
      </c>
    </row>
    <row r="69" spans="1:6" s="367" customFormat="1" ht="24.75">
      <c r="A69" s="370">
        <v>67</v>
      </c>
      <c r="B69" s="371"/>
      <c r="D69" s="372" t="s">
        <v>561</v>
      </c>
      <c r="E69" s="373">
        <v>11.242000000000001</v>
      </c>
      <c r="F69" s="373">
        <v>14.200085</v>
      </c>
    </row>
    <row r="70" spans="1:6" s="367" customFormat="1" ht="24.75">
      <c r="A70" s="370">
        <v>68</v>
      </c>
      <c r="B70" s="371"/>
      <c r="D70" s="372" t="s">
        <v>562</v>
      </c>
      <c r="E70" s="373">
        <v>10.913</v>
      </c>
      <c r="F70" s="373">
        <v>10.246485</v>
      </c>
    </row>
    <row r="71" spans="1:6" s="367" customFormat="1" ht="26.25">
      <c r="A71" s="3017"/>
      <c r="B71" s="3017"/>
      <c r="D71" s="372"/>
      <c r="E71" s="374"/>
      <c r="F71" s="374"/>
    </row>
    <row r="72" spans="1:6" s="367" customFormat="1" ht="39" customHeight="1">
      <c r="A72" s="366"/>
      <c r="B72" s="366"/>
      <c r="D72" s="375" t="s">
        <v>563</v>
      </c>
      <c r="E72" s="374"/>
      <c r="F72" s="374"/>
    </row>
    <row r="73" spans="1:6" s="367" customFormat="1" ht="39" customHeight="1">
      <c r="A73" s="366"/>
      <c r="B73" s="366"/>
      <c r="D73" s="368" t="s">
        <v>486</v>
      </c>
      <c r="E73" s="376" t="s">
        <v>487</v>
      </c>
      <c r="F73" s="376" t="s">
        <v>488</v>
      </c>
    </row>
    <row r="74" spans="1:6" ht="24.75">
      <c r="A74" s="370">
        <v>1</v>
      </c>
      <c r="B74" s="371" t="s">
        <v>564</v>
      </c>
      <c r="D74" s="372" t="s">
        <v>565</v>
      </c>
      <c r="E74" s="373">
        <v>437.86</v>
      </c>
      <c r="F74" s="373">
        <v>222.87729100000001</v>
      </c>
    </row>
    <row r="75" spans="1:6" ht="24.75">
      <c r="A75" s="370">
        <v>2</v>
      </c>
      <c r="B75" s="371" t="s">
        <v>566</v>
      </c>
      <c r="D75" s="372" t="s">
        <v>567</v>
      </c>
      <c r="E75" s="373">
        <v>208.72300000000001</v>
      </c>
      <c r="F75" s="373">
        <v>283.99123500000002</v>
      </c>
    </row>
    <row r="76" spans="1:6" ht="24.75">
      <c r="A76" s="370">
        <v>3</v>
      </c>
      <c r="B76" s="371" t="s">
        <v>568</v>
      </c>
      <c r="D76" s="372" t="s">
        <v>569</v>
      </c>
      <c r="E76" s="373">
        <v>118.45699999999999</v>
      </c>
      <c r="F76" s="373">
        <v>17.768550000000001</v>
      </c>
    </row>
    <row r="77" spans="1:6" ht="24.75">
      <c r="A77" s="370">
        <v>4</v>
      </c>
      <c r="B77" s="371" t="s">
        <v>570</v>
      </c>
      <c r="D77" s="372" t="s">
        <v>571</v>
      </c>
      <c r="E77" s="373">
        <v>102.70099999999999</v>
      </c>
      <c r="F77" s="373">
        <v>105.26904</v>
      </c>
    </row>
    <row r="78" spans="1:6" ht="24.75">
      <c r="A78" s="370">
        <v>5</v>
      </c>
      <c r="B78" s="371" t="s">
        <v>572</v>
      </c>
      <c r="D78" s="372" t="s">
        <v>573</v>
      </c>
      <c r="E78" s="373">
        <v>101.11499999999999</v>
      </c>
      <c r="F78" s="373">
        <v>147.49482599999999</v>
      </c>
    </row>
    <row r="79" spans="1:6" ht="24.75">
      <c r="A79" s="370">
        <v>6</v>
      </c>
      <c r="B79" s="371" t="s">
        <v>574</v>
      </c>
      <c r="D79" s="372" t="s">
        <v>575</v>
      </c>
      <c r="E79" s="373">
        <v>47.152999999999999</v>
      </c>
      <c r="F79" s="373">
        <v>42.396676999999997</v>
      </c>
    </row>
    <row r="80" spans="1:6" ht="24.75">
      <c r="A80" s="370">
        <v>7</v>
      </c>
      <c r="B80" s="371" t="s">
        <v>576</v>
      </c>
      <c r="D80" s="372" t="s">
        <v>577</v>
      </c>
      <c r="E80" s="373">
        <v>43.851999999999997</v>
      </c>
      <c r="F80" s="373">
        <v>28.589530000000003</v>
      </c>
    </row>
    <row r="81" spans="1:6" ht="24.75">
      <c r="A81" s="370">
        <v>8</v>
      </c>
      <c r="B81" s="371" t="s">
        <v>578</v>
      </c>
      <c r="D81" s="372" t="s">
        <v>579</v>
      </c>
      <c r="E81" s="373">
        <v>26.134</v>
      </c>
      <c r="F81" s="373">
        <v>18.328689000000001</v>
      </c>
    </row>
    <row r="82" spans="1:6" ht="24.75">
      <c r="A82" s="370">
        <v>9</v>
      </c>
      <c r="B82" s="371" t="s">
        <v>580</v>
      </c>
      <c r="D82" s="372" t="s">
        <v>581</v>
      </c>
      <c r="E82" s="373">
        <v>23.178999999999998</v>
      </c>
      <c r="F82" s="373">
        <v>21.137069</v>
      </c>
    </row>
    <row r="83" spans="1:6" ht="24.75">
      <c r="A83" s="370">
        <v>10</v>
      </c>
      <c r="B83" s="371" t="s">
        <v>582</v>
      </c>
      <c r="D83" s="372" t="s">
        <v>583</v>
      </c>
      <c r="E83" s="373">
        <v>22.318999999999999</v>
      </c>
      <c r="F83" s="373">
        <v>15.351277</v>
      </c>
    </row>
    <row r="84" spans="1:6" ht="24.75">
      <c r="A84" s="370">
        <v>11</v>
      </c>
      <c r="B84" s="371" t="s">
        <v>584</v>
      </c>
      <c r="D84" s="372" t="s">
        <v>585</v>
      </c>
      <c r="E84" s="373">
        <v>21.762</v>
      </c>
      <c r="F84" s="373">
        <v>23.741232</v>
      </c>
    </row>
    <row r="85" spans="1:6" ht="24.75">
      <c r="A85" s="370">
        <v>12</v>
      </c>
      <c r="B85" s="371" t="s">
        <v>586</v>
      </c>
      <c r="D85" s="372" t="s">
        <v>587</v>
      </c>
      <c r="E85" s="373">
        <v>20.713000000000001</v>
      </c>
      <c r="F85" s="373">
        <v>33.951734000000002</v>
      </c>
    </row>
    <row r="86" spans="1:6" ht="24.75">
      <c r="A86" s="370">
        <v>13</v>
      </c>
      <c r="B86" s="371" t="s">
        <v>588</v>
      </c>
      <c r="D86" s="372" t="s">
        <v>589</v>
      </c>
      <c r="E86" s="373">
        <v>18.513999999999999</v>
      </c>
      <c r="F86" s="373">
        <v>27.277427000000003</v>
      </c>
    </row>
    <row r="87" spans="1:6" ht="24.75">
      <c r="A87" s="370">
        <v>14</v>
      </c>
      <c r="B87" s="371" t="s">
        <v>590</v>
      </c>
      <c r="D87" s="372" t="s">
        <v>591</v>
      </c>
      <c r="E87" s="373">
        <v>17.82</v>
      </c>
      <c r="F87" s="373">
        <v>26.784904999999998</v>
      </c>
    </row>
    <row r="88" spans="1:6" ht="24.75">
      <c r="A88" s="370">
        <v>15</v>
      </c>
      <c r="B88" s="371" t="s">
        <v>592</v>
      </c>
      <c r="D88" s="372" t="s">
        <v>593</v>
      </c>
      <c r="E88" s="373">
        <v>17.251999999999999</v>
      </c>
      <c r="F88" s="373">
        <v>17.681004000000001</v>
      </c>
    </row>
    <row r="89" spans="1:6" ht="24.75">
      <c r="A89" s="370">
        <v>16</v>
      </c>
      <c r="B89" s="371" t="s">
        <v>594</v>
      </c>
      <c r="D89" s="372" t="s">
        <v>595</v>
      </c>
      <c r="E89" s="373">
        <v>16.654</v>
      </c>
      <c r="F89" s="373">
        <v>29.944143000000004</v>
      </c>
    </row>
    <row r="90" spans="1:6" ht="24.75">
      <c r="A90" s="370">
        <v>17</v>
      </c>
      <c r="B90" s="371" t="s">
        <v>596</v>
      </c>
      <c r="D90" s="377" t="s">
        <v>597</v>
      </c>
      <c r="E90" s="373">
        <v>15.555</v>
      </c>
      <c r="F90" s="373">
        <v>12.345117999999999</v>
      </c>
    </row>
    <row r="91" spans="1:6" ht="24.75">
      <c r="A91" s="370">
        <v>18</v>
      </c>
      <c r="B91" s="371" t="s">
        <v>598</v>
      </c>
      <c r="D91" s="377" t="s">
        <v>599</v>
      </c>
      <c r="E91" s="373">
        <v>14.521000000000001</v>
      </c>
      <c r="F91" s="373">
        <v>20.550003</v>
      </c>
    </row>
    <row r="92" spans="1:6" ht="24.75">
      <c r="A92" s="370">
        <v>19</v>
      </c>
      <c r="B92" s="371" t="s">
        <v>600</v>
      </c>
      <c r="D92" s="377" t="s">
        <v>601</v>
      </c>
      <c r="E92" s="373">
        <v>14.516999999999999</v>
      </c>
      <c r="F92" s="373">
        <v>15.816594000000002</v>
      </c>
    </row>
    <row r="93" spans="1:6" ht="24.75">
      <c r="A93" s="370">
        <v>20</v>
      </c>
      <c r="B93" s="371"/>
      <c r="D93" s="377" t="s">
        <v>602</v>
      </c>
      <c r="E93" s="373">
        <v>14.507999999999999</v>
      </c>
      <c r="F93" s="373">
        <v>20.861836</v>
      </c>
    </row>
    <row r="94" spans="1:6" ht="24.75">
      <c r="A94" s="370">
        <v>21</v>
      </c>
      <c r="B94" s="371"/>
      <c r="D94" s="377" t="s">
        <v>603</v>
      </c>
      <c r="E94" s="373">
        <v>14.465</v>
      </c>
      <c r="F94" s="373">
        <v>23.485966999999999</v>
      </c>
    </row>
    <row r="95" spans="1:6" ht="24.75">
      <c r="A95" s="370">
        <v>22</v>
      </c>
      <c r="B95" s="371"/>
      <c r="D95" s="377" t="s">
        <v>604</v>
      </c>
      <c r="E95" s="373">
        <v>13.840999999999998</v>
      </c>
      <c r="F95" s="373">
        <v>18.929905000000002</v>
      </c>
    </row>
    <row r="96" spans="1:6" ht="24.75">
      <c r="A96" s="370">
        <v>23</v>
      </c>
      <c r="B96" s="371"/>
      <c r="D96" s="377" t="s">
        <v>605</v>
      </c>
      <c r="E96" s="373">
        <v>12.347000000000001</v>
      </c>
      <c r="F96" s="373">
        <v>19.504073999999999</v>
      </c>
    </row>
    <row r="97" spans="1:6" ht="24.75">
      <c r="A97" s="370">
        <v>24</v>
      </c>
      <c r="B97" s="371"/>
      <c r="D97" s="377" t="s">
        <v>606</v>
      </c>
      <c r="E97" s="373">
        <v>11.35</v>
      </c>
      <c r="F97" s="373">
        <v>15.703654999999999</v>
      </c>
    </row>
    <row r="98" spans="1:6" ht="24.75">
      <c r="A98" s="370">
        <v>25</v>
      </c>
      <c r="B98" s="371"/>
      <c r="D98" s="377" t="s">
        <v>607</v>
      </c>
      <c r="E98" s="373">
        <v>750.77300000000002</v>
      </c>
      <c r="F98" s="373">
        <v>380.53830599999998</v>
      </c>
    </row>
    <row r="99" spans="1:6" ht="24.75">
      <c r="A99" s="370">
        <v>26</v>
      </c>
      <c r="B99" s="371"/>
      <c r="D99" s="377" t="s">
        <v>608</v>
      </c>
      <c r="E99" s="373">
        <v>719.90899999999999</v>
      </c>
      <c r="F99" s="373">
        <v>362.95147900000001</v>
      </c>
    </row>
    <row r="100" spans="1:6" ht="24.75">
      <c r="A100" s="370">
        <v>27</v>
      </c>
      <c r="B100" s="371"/>
      <c r="D100" s="377" t="s">
        <v>609</v>
      </c>
      <c r="E100" s="373">
        <v>502.541</v>
      </c>
      <c r="F100" s="373">
        <v>396.58053100000001</v>
      </c>
    </row>
    <row r="101" spans="1:6" ht="24.75">
      <c r="A101" s="370">
        <v>28</v>
      </c>
      <c r="B101" s="371"/>
      <c r="D101" s="377" t="s">
        <v>610</v>
      </c>
      <c r="E101" s="373">
        <v>443.31599999999997</v>
      </c>
      <c r="F101" s="373">
        <v>467.24233700000002</v>
      </c>
    </row>
    <row r="102" spans="1:6" ht="24.75">
      <c r="A102" s="370">
        <v>29</v>
      </c>
      <c r="B102" s="371"/>
      <c r="D102" s="377" t="s">
        <v>611</v>
      </c>
      <c r="E102" s="373">
        <v>358.94499999999999</v>
      </c>
      <c r="F102" s="373">
        <v>132.43490700000001</v>
      </c>
    </row>
    <row r="103" spans="1:6" ht="24.75">
      <c r="A103" s="370">
        <v>30</v>
      </c>
      <c r="B103" s="371"/>
      <c r="D103" s="377" t="s">
        <v>612</v>
      </c>
      <c r="E103" s="373">
        <v>307.85899999999998</v>
      </c>
      <c r="F103" s="373">
        <v>46.178849999999997</v>
      </c>
    </row>
    <row r="104" spans="1:6" ht="24.75">
      <c r="A104" s="370">
        <v>31</v>
      </c>
      <c r="B104" s="371"/>
      <c r="D104" s="377" t="s">
        <v>613</v>
      </c>
      <c r="E104" s="373">
        <v>235.411</v>
      </c>
      <c r="F104" s="373">
        <v>74.88297</v>
      </c>
    </row>
    <row r="105" spans="1:6" ht="24.75">
      <c r="A105" s="370">
        <v>32</v>
      </c>
      <c r="B105" s="371"/>
      <c r="D105" s="377" t="s">
        <v>614</v>
      </c>
      <c r="E105" s="373">
        <v>209.20599999999999</v>
      </c>
      <c r="F105" s="373">
        <v>253.296266</v>
      </c>
    </row>
    <row r="106" spans="1:6" ht="24.75">
      <c r="A106" s="370">
        <v>33</v>
      </c>
      <c r="B106" s="371"/>
      <c r="D106" s="377" t="s">
        <v>615</v>
      </c>
      <c r="E106" s="373">
        <v>208.315</v>
      </c>
      <c r="F106" s="373">
        <v>31.247250000000001</v>
      </c>
    </row>
    <row r="107" spans="1:6" ht="24.75">
      <c r="A107" s="370">
        <v>34</v>
      </c>
      <c r="B107" s="371"/>
      <c r="D107" s="377" t="s">
        <v>616</v>
      </c>
      <c r="E107" s="373">
        <v>197.74700000000001</v>
      </c>
      <c r="F107" s="373">
        <v>121.445532</v>
      </c>
    </row>
    <row r="108" spans="1:6" ht="24.75">
      <c r="A108" s="370">
        <v>35</v>
      </c>
      <c r="B108" s="371"/>
      <c r="D108" s="377" t="s">
        <v>617</v>
      </c>
      <c r="E108" s="373">
        <v>169.78200000000001</v>
      </c>
      <c r="F108" s="373">
        <v>84.867570999999998</v>
      </c>
    </row>
    <row r="109" spans="1:6" ht="24.75">
      <c r="A109" s="370">
        <v>36</v>
      </c>
      <c r="B109" s="371"/>
      <c r="D109" s="377" t="s">
        <v>618</v>
      </c>
      <c r="E109" s="373">
        <v>164.851</v>
      </c>
      <c r="F109" s="373">
        <v>24.727650000000001</v>
      </c>
    </row>
    <row r="110" spans="1:6" ht="24.75">
      <c r="A110" s="370">
        <v>37</v>
      </c>
      <c r="B110" s="371"/>
      <c r="D110" s="377" t="s">
        <v>619</v>
      </c>
      <c r="E110" s="373">
        <v>145.976</v>
      </c>
      <c r="F110" s="373">
        <v>133.46012300000001</v>
      </c>
    </row>
    <row r="111" spans="1:6" ht="24.75">
      <c r="A111" s="370">
        <v>38</v>
      </c>
      <c r="B111" s="371"/>
      <c r="D111" s="377" t="s">
        <v>620</v>
      </c>
      <c r="E111" s="373">
        <v>103.176</v>
      </c>
      <c r="F111" s="373">
        <v>42.292876</v>
      </c>
    </row>
    <row r="112" spans="1:6" ht="24.75">
      <c r="A112" s="370">
        <v>39</v>
      </c>
      <c r="B112" s="371"/>
      <c r="D112" s="377" t="s">
        <v>621</v>
      </c>
      <c r="E112" s="373">
        <v>89.792000000000002</v>
      </c>
      <c r="F112" s="373">
        <v>13.4688</v>
      </c>
    </row>
    <row r="113" spans="1:6" ht="24.75">
      <c r="A113" s="370">
        <v>40</v>
      </c>
      <c r="B113" s="371"/>
      <c r="D113" s="377" t="s">
        <v>622</v>
      </c>
      <c r="E113" s="373">
        <v>85.501999999999995</v>
      </c>
      <c r="F113" s="373">
        <v>93.897653000000005</v>
      </c>
    </row>
    <row r="114" spans="1:6" ht="24.75">
      <c r="A114" s="370">
        <v>41</v>
      </c>
      <c r="B114" s="371"/>
      <c r="D114" s="377" t="s">
        <v>623</v>
      </c>
      <c r="E114" s="373">
        <v>74.39</v>
      </c>
      <c r="F114" s="373">
        <v>42.674408999999997</v>
      </c>
    </row>
    <row r="115" spans="1:6" ht="24.75">
      <c r="A115" s="370">
        <v>42</v>
      </c>
      <c r="B115" s="371"/>
      <c r="D115" s="377" t="s">
        <v>624</v>
      </c>
      <c r="E115" s="373">
        <v>70.441999999999993</v>
      </c>
      <c r="F115" s="373">
        <v>68.584657000000007</v>
      </c>
    </row>
    <row r="116" spans="1:6" ht="24.75">
      <c r="A116" s="370">
        <v>43</v>
      </c>
      <c r="B116" s="371"/>
      <c r="D116" s="377" t="s">
        <v>625</v>
      </c>
      <c r="E116" s="373">
        <v>68.408000000000001</v>
      </c>
      <c r="F116" s="373">
        <v>99.785653999999994</v>
      </c>
    </row>
    <row r="117" spans="1:6" ht="24.75">
      <c r="A117" s="370">
        <v>44</v>
      </c>
      <c r="B117" s="371"/>
      <c r="D117" s="377" t="s">
        <v>626</v>
      </c>
      <c r="E117" s="373">
        <v>65.013000000000005</v>
      </c>
      <c r="F117" s="373">
        <v>65.073590999999993</v>
      </c>
    </row>
    <row r="118" spans="1:6" ht="24.75">
      <c r="A118" s="370">
        <v>45</v>
      </c>
      <c r="B118" s="371"/>
      <c r="D118" s="377" t="s">
        <v>627</v>
      </c>
      <c r="E118" s="373">
        <v>64.906000000000006</v>
      </c>
      <c r="F118" s="373">
        <v>74.753354000000002</v>
      </c>
    </row>
    <row r="119" spans="1:6" ht="24.75">
      <c r="A119" s="370">
        <v>46</v>
      </c>
      <c r="B119" s="371"/>
      <c r="D119" s="377" t="s">
        <v>628</v>
      </c>
      <c r="E119" s="373">
        <v>63.881</v>
      </c>
      <c r="F119" s="373">
        <v>14.315545999999999</v>
      </c>
    </row>
    <row r="120" spans="1:6" ht="24.75">
      <c r="A120" s="370">
        <v>47</v>
      </c>
      <c r="B120" s="371"/>
      <c r="D120" s="377" t="s">
        <v>629</v>
      </c>
      <c r="E120" s="373">
        <v>62.402999999999999</v>
      </c>
      <c r="F120" s="373">
        <v>100.91844</v>
      </c>
    </row>
    <row r="121" spans="1:6" ht="24.75">
      <c r="A121" s="370">
        <v>48</v>
      </c>
      <c r="B121" s="371"/>
      <c r="D121" s="377" t="s">
        <v>630</v>
      </c>
      <c r="E121" s="373">
        <v>62.198999999999998</v>
      </c>
      <c r="F121" s="373">
        <v>87.200136000000001</v>
      </c>
    </row>
    <row r="122" spans="1:6" ht="24.75">
      <c r="A122" s="370">
        <v>49</v>
      </c>
      <c r="B122" s="371"/>
      <c r="D122" s="377" t="s">
        <v>631</v>
      </c>
      <c r="E122" s="373">
        <v>58.802999999999997</v>
      </c>
      <c r="F122" s="373">
        <v>120.101956</v>
      </c>
    </row>
    <row r="123" spans="1:6" ht="24.75">
      <c r="A123" s="370">
        <v>50</v>
      </c>
      <c r="B123" s="371"/>
      <c r="D123" s="377" t="s">
        <v>632</v>
      </c>
      <c r="E123" s="373">
        <v>58.63</v>
      </c>
      <c r="F123" s="373">
        <v>35.764299999999999</v>
      </c>
    </row>
    <row r="124" spans="1:6" ht="24.75">
      <c r="A124" s="370">
        <v>51</v>
      </c>
      <c r="B124" s="371"/>
      <c r="D124" s="377" t="s">
        <v>633</v>
      </c>
      <c r="E124" s="373">
        <v>54.366999999999997</v>
      </c>
      <c r="F124" s="373">
        <v>34.565356000000001</v>
      </c>
    </row>
    <row r="125" spans="1:6" ht="24.75">
      <c r="A125" s="370">
        <v>52</v>
      </c>
      <c r="B125" s="371"/>
      <c r="D125" s="377" t="s">
        <v>634</v>
      </c>
      <c r="E125" s="373">
        <v>51.773000000000003</v>
      </c>
      <c r="F125" s="373">
        <v>54.387695999999998</v>
      </c>
    </row>
    <row r="126" spans="1:6" ht="24.75">
      <c r="A126" s="370">
        <v>53</v>
      </c>
      <c r="B126" s="371"/>
      <c r="D126" s="377" t="s">
        <v>635</v>
      </c>
      <c r="E126" s="373">
        <v>50.280999999999999</v>
      </c>
      <c r="F126" s="373">
        <v>44.531719000000002</v>
      </c>
    </row>
    <row r="127" spans="1:6" ht="24.75">
      <c r="A127" s="370">
        <v>54</v>
      </c>
      <c r="B127" s="371"/>
      <c r="D127" s="377" t="s">
        <v>636</v>
      </c>
      <c r="E127" s="373">
        <v>48.795999999999999</v>
      </c>
      <c r="F127" s="373">
        <v>67.540591000000006</v>
      </c>
    </row>
    <row r="128" spans="1:6" ht="24.75">
      <c r="A128" s="370">
        <v>55</v>
      </c>
      <c r="B128" s="371"/>
      <c r="D128" s="377" t="s">
        <v>637</v>
      </c>
      <c r="E128" s="373">
        <v>47.731999999999999</v>
      </c>
      <c r="F128" s="373">
        <v>84.609549000000001</v>
      </c>
    </row>
    <row r="129" spans="1:6" ht="24.75">
      <c r="A129" s="370">
        <v>56</v>
      </c>
      <c r="B129" s="371"/>
      <c r="D129" s="377" t="s">
        <v>638</v>
      </c>
      <c r="E129" s="373">
        <v>47.225000000000001</v>
      </c>
      <c r="F129" s="373">
        <v>56.236127000000003</v>
      </c>
    </row>
    <row r="130" spans="1:6" ht="24.75">
      <c r="A130" s="370">
        <v>57</v>
      </c>
      <c r="B130" s="371"/>
      <c r="D130" s="377" t="s">
        <v>639</v>
      </c>
      <c r="E130" s="373">
        <v>41.347000000000001</v>
      </c>
      <c r="F130" s="373">
        <v>64.296732000000006</v>
      </c>
    </row>
    <row r="131" spans="1:6" ht="24.75">
      <c r="A131" s="370">
        <v>58</v>
      </c>
      <c r="B131" s="371"/>
      <c r="D131" s="377" t="s">
        <v>640</v>
      </c>
      <c r="E131" s="373">
        <v>39.052999999999997</v>
      </c>
      <c r="F131" s="373">
        <v>39.519683000000001</v>
      </c>
    </row>
    <row r="132" spans="1:6" ht="24.75">
      <c r="A132" s="370">
        <v>59</v>
      </c>
      <c r="B132" s="371"/>
      <c r="D132" s="377" t="s">
        <v>641</v>
      </c>
      <c r="E132" s="373">
        <v>38.384999999999998</v>
      </c>
      <c r="F132" s="373">
        <v>51.673197000000002</v>
      </c>
    </row>
    <row r="133" spans="1:6" ht="24.75">
      <c r="A133" s="370">
        <v>60</v>
      </c>
      <c r="B133" s="371"/>
      <c r="D133" s="377" t="s">
        <v>642</v>
      </c>
      <c r="E133" s="373">
        <v>37.405999999999999</v>
      </c>
      <c r="F133" s="373">
        <v>11.555462</v>
      </c>
    </row>
    <row r="134" spans="1:6" ht="24.75">
      <c r="A134" s="370">
        <v>61</v>
      </c>
      <c r="B134" s="371"/>
      <c r="D134" s="377" t="s">
        <v>643</v>
      </c>
      <c r="E134" s="373">
        <v>34.526000000000003</v>
      </c>
      <c r="F134" s="373">
        <v>52.323394</v>
      </c>
    </row>
    <row r="135" spans="1:6" ht="24.75">
      <c r="A135" s="370">
        <v>62</v>
      </c>
      <c r="B135" s="371"/>
      <c r="D135" s="377" t="s">
        <v>644</v>
      </c>
      <c r="E135" s="373">
        <v>33.582000000000001</v>
      </c>
      <c r="F135" s="373">
        <v>16.739854999999999</v>
      </c>
    </row>
    <row r="136" spans="1:6" ht="24.75">
      <c r="A136" s="370">
        <v>63</v>
      </c>
      <c r="B136" s="371"/>
      <c r="D136" s="377" t="s">
        <v>645</v>
      </c>
      <c r="E136" s="373">
        <v>33.271999999999998</v>
      </c>
      <c r="F136" s="373">
        <v>44.901462000000002</v>
      </c>
    </row>
    <row r="137" spans="1:6" ht="24.75">
      <c r="A137" s="370">
        <v>64</v>
      </c>
      <c r="B137" s="371"/>
      <c r="D137" s="377" t="s">
        <v>646</v>
      </c>
      <c r="E137" s="373">
        <v>32.79</v>
      </c>
      <c r="F137" s="373">
        <v>19.547104000000001</v>
      </c>
    </row>
    <row r="138" spans="1:6" ht="24.75">
      <c r="A138" s="370">
        <v>65</v>
      </c>
      <c r="B138" s="371"/>
      <c r="D138" s="377" t="s">
        <v>647</v>
      </c>
      <c r="E138" s="373">
        <v>32.625999999999998</v>
      </c>
      <c r="F138" s="373">
        <v>14.844998</v>
      </c>
    </row>
    <row r="139" spans="1:6" ht="24.75">
      <c r="A139" s="370">
        <v>66</v>
      </c>
      <c r="B139" s="371"/>
      <c r="D139" s="377" t="s">
        <v>648</v>
      </c>
      <c r="E139" s="373">
        <v>31.856999999999999</v>
      </c>
      <c r="F139" s="373">
        <v>32.532784999999997</v>
      </c>
    </row>
    <row r="140" spans="1:6" ht="24.75">
      <c r="A140" s="370">
        <v>67</v>
      </c>
      <c r="B140" s="371"/>
      <c r="D140" s="377" t="s">
        <v>649</v>
      </c>
      <c r="E140" s="373">
        <v>31.495999999999999</v>
      </c>
      <c r="F140" s="373">
        <v>40.490721999999998</v>
      </c>
    </row>
    <row r="141" spans="1:6" ht="24.75">
      <c r="A141" s="370">
        <v>68</v>
      </c>
      <c r="B141" s="371"/>
      <c r="D141" s="377" t="s">
        <v>650</v>
      </c>
      <c r="E141" s="373">
        <v>27.821999999999999</v>
      </c>
      <c r="F141" s="373">
        <v>9.9928279999999994</v>
      </c>
    </row>
    <row r="142" spans="1:6" ht="24.75">
      <c r="A142" s="370">
        <v>69</v>
      </c>
      <c r="B142" s="371"/>
      <c r="D142" s="377" t="s">
        <v>651</v>
      </c>
      <c r="E142" s="373">
        <v>25.512</v>
      </c>
      <c r="F142" s="373">
        <v>35.729402999999998</v>
      </c>
    </row>
    <row r="143" spans="1:6" ht="24.75">
      <c r="A143" s="370">
        <v>70</v>
      </c>
      <c r="B143" s="371"/>
      <c r="D143" s="377" t="s">
        <v>652</v>
      </c>
      <c r="E143" s="373">
        <v>25.044</v>
      </c>
      <c r="F143" s="373">
        <v>19.451259</v>
      </c>
    </row>
    <row r="144" spans="1:6" ht="24.75">
      <c r="A144" s="370">
        <v>71</v>
      </c>
      <c r="B144" s="371"/>
      <c r="D144" s="377" t="s">
        <v>653</v>
      </c>
      <c r="E144" s="373">
        <v>24.085000000000001</v>
      </c>
      <c r="F144" s="373">
        <v>19.444856000000001</v>
      </c>
    </row>
    <row r="145" spans="1:6" ht="24.75">
      <c r="A145" s="370">
        <v>72</v>
      </c>
      <c r="B145" s="371"/>
      <c r="D145" s="377" t="s">
        <v>654</v>
      </c>
      <c r="E145" s="373">
        <v>23.759</v>
      </c>
      <c r="F145" s="373">
        <v>16.611951000000001</v>
      </c>
    </row>
    <row r="146" spans="1:6" ht="24.75">
      <c r="A146" s="370">
        <v>73</v>
      </c>
      <c r="B146" s="371"/>
      <c r="D146" s="377" t="s">
        <v>655</v>
      </c>
      <c r="E146" s="373">
        <v>22.335999999999999</v>
      </c>
      <c r="F146" s="373">
        <v>13.834676999999999</v>
      </c>
    </row>
    <row r="147" spans="1:6" ht="24.75">
      <c r="A147" s="370">
        <v>74</v>
      </c>
      <c r="B147" s="371"/>
      <c r="D147" s="377" t="s">
        <v>656</v>
      </c>
      <c r="E147" s="373">
        <v>20.035</v>
      </c>
      <c r="F147" s="373">
        <v>32.400700000000001</v>
      </c>
    </row>
    <row r="148" spans="1:6" ht="24.75">
      <c r="A148" s="370">
        <v>75</v>
      </c>
      <c r="B148" s="371"/>
      <c r="D148" s="377" t="s">
        <v>657</v>
      </c>
      <c r="E148" s="373">
        <v>19.181000000000001</v>
      </c>
      <c r="F148" s="373">
        <v>31.019608999999999</v>
      </c>
    </row>
    <row r="149" spans="1:6" ht="24.75">
      <c r="A149" s="370">
        <v>76</v>
      </c>
      <c r="B149" s="371"/>
      <c r="D149" s="377" t="s">
        <v>658</v>
      </c>
      <c r="E149" s="373">
        <v>17.167999999999999</v>
      </c>
      <c r="F149" s="373">
        <v>26.147618999999999</v>
      </c>
    </row>
    <row r="150" spans="1:6" ht="24.75">
      <c r="A150" s="370">
        <v>77</v>
      </c>
      <c r="B150" s="371"/>
      <c r="D150" s="377" t="s">
        <v>659</v>
      </c>
      <c r="E150" s="373">
        <v>16.797999999999998</v>
      </c>
      <c r="F150" s="373">
        <v>26.656092999999998</v>
      </c>
    </row>
    <row r="151" spans="1:6" ht="24.75">
      <c r="A151" s="370">
        <v>78</v>
      </c>
      <c r="B151" s="371"/>
      <c r="D151" s="377" t="s">
        <v>660</v>
      </c>
      <c r="E151" s="373">
        <v>16.745999999999999</v>
      </c>
      <c r="F151" s="373">
        <v>17.101602</v>
      </c>
    </row>
    <row r="152" spans="1:6" ht="24.75">
      <c r="A152" s="370">
        <v>79</v>
      </c>
      <c r="B152" s="371"/>
      <c r="D152" s="377" t="s">
        <v>661</v>
      </c>
      <c r="E152" s="373">
        <v>15.808999999999999</v>
      </c>
      <c r="F152" s="373">
        <v>25.911158</v>
      </c>
    </row>
    <row r="153" spans="1:6" ht="24.75">
      <c r="A153" s="370">
        <v>80</v>
      </c>
      <c r="B153" s="371"/>
      <c r="D153" s="377" t="s">
        <v>662</v>
      </c>
      <c r="E153" s="373">
        <v>14.691000000000001</v>
      </c>
      <c r="F153" s="373">
        <v>14.549026</v>
      </c>
    </row>
    <row r="154" spans="1:6" ht="24.75">
      <c r="A154" s="370">
        <v>81</v>
      </c>
      <c r="B154" s="371"/>
      <c r="D154" s="377" t="s">
        <v>663</v>
      </c>
      <c r="E154" s="373">
        <v>14.212</v>
      </c>
      <c r="F154" s="373">
        <v>11.014825999999999</v>
      </c>
    </row>
    <row r="155" spans="1:6" ht="24.75">
      <c r="A155" s="370">
        <v>82</v>
      </c>
      <c r="B155" s="371"/>
      <c r="D155" s="377" t="s">
        <v>664</v>
      </c>
      <c r="E155" s="373">
        <v>13.71</v>
      </c>
      <c r="F155" s="373">
        <v>11.873943000000001</v>
      </c>
    </row>
    <row r="156" spans="1:6" ht="24.75">
      <c r="A156" s="370">
        <v>83</v>
      </c>
      <c r="B156" s="371"/>
      <c r="D156" s="377" t="s">
        <v>665</v>
      </c>
      <c r="E156" s="373">
        <v>13.66</v>
      </c>
      <c r="F156" s="373">
        <v>19.035509999999999</v>
      </c>
    </row>
    <row r="157" spans="1:6" ht="24.75">
      <c r="A157" s="370">
        <v>84</v>
      </c>
      <c r="B157" s="371"/>
      <c r="D157" s="377" t="s">
        <v>666</v>
      </c>
      <c r="E157" s="373">
        <v>13.327999999999999</v>
      </c>
      <c r="F157" s="373">
        <v>12.252843</v>
      </c>
    </row>
    <row r="158" spans="1:6" ht="24.75">
      <c r="A158" s="370">
        <v>85</v>
      </c>
      <c r="B158" s="371"/>
      <c r="D158" s="377" t="s">
        <v>667</v>
      </c>
      <c r="E158" s="373">
        <v>12.302</v>
      </c>
      <c r="F158" s="373">
        <v>25.876265</v>
      </c>
    </row>
    <row r="159" spans="1:6" ht="24.75">
      <c r="A159" s="370">
        <v>86</v>
      </c>
      <c r="B159" s="371"/>
      <c r="D159" s="377" t="s">
        <v>668</v>
      </c>
      <c r="E159" s="373">
        <v>12.013999999999999</v>
      </c>
      <c r="F159" s="373">
        <v>10.247354</v>
      </c>
    </row>
    <row r="160" spans="1:6" ht="24.75">
      <c r="A160" s="370">
        <v>87</v>
      </c>
      <c r="B160" s="371"/>
      <c r="D160" s="377" t="s">
        <v>669</v>
      </c>
      <c r="E160" s="373">
        <v>11.959</v>
      </c>
      <c r="F160" s="373">
        <v>10.357438999999999</v>
      </c>
    </row>
    <row r="161" spans="1:6" ht="24.75">
      <c r="A161" s="370">
        <v>88</v>
      </c>
      <c r="B161" s="371"/>
      <c r="D161" s="377" t="s">
        <v>670</v>
      </c>
      <c r="E161" s="373">
        <v>11.465</v>
      </c>
      <c r="F161" s="373">
        <v>18.541255</v>
      </c>
    </row>
    <row r="162" spans="1:6" ht="24.75">
      <c r="A162" s="370">
        <v>89</v>
      </c>
      <c r="B162" s="371"/>
      <c r="D162" s="377" t="s">
        <v>671</v>
      </c>
      <c r="E162" s="373">
        <v>10.589</v>
      </c>
      <c r="F162" s="373">
        <v>14.164058000000001</v>
      </c>
    </row>
  </sheetData>
  <autoFilter ref="D2:F70" xr:uid="{00000000-0009-0000-0000-000017000000}"/>
  <mergeCells count="2">
    <mergeCell ref="A1:B1"/>
    <mergeCell ref="A71:B71"/>
  </mergeCells>
  <pageMargins left="0.70866141732283472" right="0.70866141732283472" top="1.3385826771653544" bottom="0.74803149606299213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:W33"/>
  <sheetViews>
    <sheetView rightToLeft="1" zoomScale="60" zoomScaleNormal="60" zoomScaleSheetLayoutView="70" workbookViewId="0">
      <selection sqref="A1:W17"/>
    </sheetView>
  </sheetViews>
  <sheetFormatPr defaultColWidth="10.375" defaultRowHeight="60.75" customHeight="1"/>
  <cols>
    <col min="1" max="1" width="11.375" style="76" customWidth="1"/>
    <col min="2" max="2" width="14.375" style="76" customWidth="1"/>
    <col min="3" max="3" width="11.125" style="76" bestFit="1" customWidth="1"/>
    <col min="4" max="4" width="9.375" style="76" bestFit="1" customWidth="1"/>
    <col min="5" max="5" width="12.25" style="76" customWidth="1"/>
    <col min="6" max="6" width="11.125" style="76" bestFit="1" customWidth="1"/>
    <col min="7" max="8" width="9.25" style="76" bestFit="1" customWidth="1"/>
    <col min="9" max="9" width="12.625" style="76" customWidth="1"/>
    <col min="10" max="10" width="11.25" style="76" bestFit="1" customWidth="1"/>
    <col min="11" max="11" width="13.75" style="76" customWidth="1"/>
    <col min="12" max="12" width="11" style="76" bestFit="1" customWidth="1"/>
    <col min="13" max="13" width="11.625" style="76" customWidth="1"/>
    <col min="14" max="14" width="9.25" style="76" bestFit="1" customWidth="1"/>
    <col min="15" max="15" width="9.125" style="76" bestFit="1" customWidth="1"/>
    <col min="16" max="16" width="9.25" style="76" customWidth="1"/>
    <col min="17" max="17" width="9.25" style="76" bestFit="1" customWidth="1"/>
    <col min="18" max="18" width="11.75" style="76" customWidth="1"/>
    <col min="19" max="19" width="11.25" style="76" bestFit="1" customWidth="1"/>
    <col min="20" max="20" width="11.25" style="76" customWidth="1"/>
    <col min="21" max="21" width="9.125" style="76" bestFit="1" customWidth="1"/>
    <col min="22" max="22" width="12.75" style="76" customWidth="1"/>
    <col min="23" max="23" width="16.125" style="76" customWidth="1"/>
    <col min="24" max="16384" width="10.375" style="76"/>
  </cols>
  <sheetData>
    <row r="1" spans="1:23" ht="33.75" customHeight="1" thickBot="1">
      <c r="A1" s="3018" t="s">
        <v>682</v>
      </c>
      <c r="B1" s="3018"/>
      <c r="C1" s="3018"/>
      <c r="D1" s="3018"/>
      <c r="E1" s="3018"/>
      <c r="F1" s="3018"/>
      <c r="G1" s="3018"/>
      <c r="H1" s="3018"/>
      <c r="I1" s="3018"/>
      <c r="J1" s="3018"/>
      <c r="K1" s="3018"/>
      <c r="L1" s="3018"/>
      <c r="M1" s="3018"/>
      <c r="N1" s="3018"/>
      <c r="O1" s="3018"/>
      <c r="P1" s="3018"/>
      <c r="Q1" s="3018"/>
      <c r="R1" s="3018"/>
      <c r="S1" s="3018"/>
      <c r="T1" s="3018"/>
      <c r="U1" s="3018"/>
      <c r="V1" s="3018"/>
      <c r="W1" s="3018"/>
    </row>
    <row r="2" spans="1:23" ht="69" customHeight="1" thickBot="1">
      <c r="A2" s="427" t="s">
        <v>1</v>
      </c>
      <c r="B2" s="428" t="s">
        <v>68</v>
      </c>
      <c r="C2" s="428" t="s">
        <v>69</v>
      </c>
      <c r="D2" s="429" t="s">
        <v>70</v>
      </c>
      <c r="E2" s="429" t="s">
        <v>71</v>
      </c>
      <c r="F2" s="429" t="s">
        <v>72</v>
      </c>
      <c r="G2" s="429" t="s">
        <v>73</v>
      </c>
      <c r="H2" s="429" t="s">
        <v>483</v>
      </c>
      <c r="I2" s="429" t="s">
        <v>401</v>
      </c>
      <c r="J2" s="429" t="s">
        <v>76</v>
      </c>
      <c r="K2" s="429" t="s">
        <v>77</v>
      </c>
      <c r="L2" s="429" t="s">
        <v>78</v>
      </c>
      <c r="M2" s="429" t="s">
        <v>79</v>
      </c>
      <c r="N2" s="429" t="s">
        <v>402</v>
      </c>
      <c r="O2" s="430" t="s">
        <v>81</v>
      </c>
      <c r="P2" s="429" t="s">
        <v>82</v>
      </c>
      <c r="Q2" s="429" t="s">
        <v>83</v>
      </c>
      <c r="R2" s="429" t="s">
        <v>84</v>
      </c>
      <c r="S2" s="429" t="s">
        <v>85</v>
      </c>
      <c r="T2" s="429" t="s">
        <v>87</v>
      </c>
      <c r="U2" s="431" t="s">
        <v>88</v>
      </c>
      <c r="V2" s="429" t="s">
        <v>683</v>
      </c>
      <c r="W2" s="427" t="s">
        <v>49</v>
      </c>
    </row>
    <row r="3" spans="1:23" ht="35.25" customHeight="1">
      <c r="A3" s="432" t="s">
        <v>37</v>
      </c>
      <c r="B3" s="433">
        <v>100883</v>
      </c>
      <c r="C3" s="433">
        <v>24100</v>
      </c>
      <c r="D3" s="433">
        <v>34069</v>
      </c>
      <c r="E3" s="433">
        <v>798183</v>
      </c>
      <c r="F3" s="433">
        <v>63831</v>
      </c>
      <c r="G3" s="433">
        <v>71286</v>
      </c>
      <c r="H3" s="433">
        <v>33238</v>
      </c>
      <c r="I3" s="434">
        <v>37978</v>
      </c>
      <c r="J3" s="433">
        <v>689410</v>
      </c>
      <c r="K3" s="433">
        <v>64461</v>
      </c>
      <c r="L3" s="433">
        <v>116991</v>
      </c>
      <c r="M3" s="433">
        <v>71111</v>
      </c>
      <c r="N3" s="434">
        <v>46673</v>
      </c>
      <c r="O3" s="434">
        <v>46230</v>
      </c>
      <c r="P3" s="434">
        <v>10166</v>
      </c>
      <c r="Q3" s="434">
        <v>54060</v>
      </c>
      <c r="R3" s="434">
        <v>15918</v>
      </c>
      <c r="S3" s="434">
        <v>27823</v>
      </c>
      <c r="T3" s="434">
        <v>109752</v>
      </c>
      <c r="U3" s="434">
        <v>20812</v>
      </c>
      <c r="V3" s="434">
        <v>32339</v>
      </c>
      <c r="W3" s="435">
        <f t="shared" ref="W3:W14" si="0">SUM(B3:V3)</f>
        <v>2469314</v>
      </c>
    </row>
    <row r="4" spans="1:23" ht="35.25" customHeight="1">
      <c r="A4" s="436" t="s">
        <v>38</v>
      </c>
      <c r="B4" s="433">
        <v>114248</v>
      </c>
      <c r="C4" s="433">
        <v>21803</v>
      </c>
      <c r="D4" s="433">
        <v>38954</v>
      </c>
      <c r="E4" s="433">
        <v>981658</v>
      </c>
      <c r="F4" s="433">
        <v>77173</v>
      </c>
      <c r="G4" s="433">
        <v>91969</v>
      </c>
      <c r="H4" s="433">
        <v>43166</v>
      </c>
      <c r="I4" s="434">
        <v>56384</v>
      </c>
      <c r="J4" s="433">
        <v>761484</v>
      </c>
      <c r="K4" s="433">
        <v>68980</v>
      </c>
      <c r="L4" s="433">
        <v>150995</v>
      </c>
      <c r="M4" s="433">
        <v>75543</v>
      </c>
      <c r="N4" s="434">
        <v>45866</v>
      </c>
      <c r="O4" s="434">
        <v>50205</v>
      </c>
      <c r="P4" s="434">
        <v>10934</v>
      </c>
      <c r="Q4" s="434">
        <v>51032</v>
      </c>
      <c r="R4" s="434">
        <v>18498</v>
      </c>
      <c r="S4" s="434">
        <v>27036</v>
      </c>
      <c r="T4" s="434">
        <v>133677</v>
      </c>
      <c r="U4" s="434">
        <v>22735</v>
      </c>
      <c r="V4" s="434">
        <v>34461</v>
      </c>
      <c r="W4" s="435">
        <f t="shared" si="0"/>
        <v>2876801</v>
      </c>
    </row>
    <row r="5" spans="1:23" ht="35.25" customHeight="1">
      <c r="A5" s="436" t="s">
        <v>39</v>
      </c>
      <c r="B5" s="433">
        <v>108477</v>
      </c>
      <c r="C5" s="433">
        <v>22279</v>
      </c>
      <c r="D5" s="433">
        <v>42058</v>
      </c>
      <c r="E5" s="433">
        <v>974353</v>
      </c>
      <c r="F5" s="433">
        <v>81030</v>
      </c>
      <c r="G5" s="433">
        <v>97432</v>
      </c>
      <c r="H5" s="433">
        <v>37927</v>
      </c>
      <c r="I5" s="434">
        <v>44370</v>
      </c>
      <c r="J5" s="433">
        <v>737953</v>
      </c>
      <c r="K5" s="433">
        <v>64783</v>
      </c>
      <c r="L5" s="433">
        <v>130317</v>
      </c>
      <c r="M5" s="433">
        <v>77260</v>
      </c>
      <c r="N5" s="434">
        <v>45329</v>
      </c>
      <c r="O5" s="434">
        <v>50097</v>
      </c>
      <c r="P5" s="434">
        <v>12239</v>
      </c>
      <c r="Q5" s="434">
        <v>52728</v>
      </c>
      <c r="R5" s="434">
        <v>18682</v>
      </c>
      <c r="S5" s="434">
        <v>28487</v>
      </c>
      <c r="T5" s="434">
        <v>134204</v>
      </c>
      <c r="U5" s="434">
        <v>22849</v>
      </c>
      <c r="V5" s="434">
        <v>35096</v>
      </c>
      <c r="W5" s="435">
        <f t="shared" si="0"/>
        <v>2817950</v>
      </c>
    </row>
    <row r="6" spans="1:23" ht="35.25" customHeight="1">
      <c r="A6" s="436" t="s">
        <v>40</v>
      </c>
      <c r="B6" s="433">
        <v>106587</v>
      </c>
      <c r="C6" s="433">
        <v>21774</v>
      </c>
      <c r="D6" s="433">
        <v>39804</v>
      </c>
      <c r="E6" s="433">
        <v>869795</v>
      </c>
      <c r="F6" s="433">
        <v>71133</v>
      </c>
      <c r="G6" s="433">
        <v>76796</v>
      </c>
      <c r="H6" s="433">
        <v>34531</v>
      </c>
      <c r="I6" s="434">
        <v>39383</v>
      </c>
      <c r="J6" s="433">
        <v>715863</v>
      </c>
      <c r="K6" s="433">
        <v>70695</v>
      </c>
      <c r="L6" s="433">
        <v>108997</v>
      </c>
      <c r="M6" s="433">
        <v>74590</v>
      </c>
      <c r="N6" s="434">
        <v>37660</v>
      </c>
      <c r="O6" s="434">
        <v>46148</v>
      </c>
      <c r="P6" s="434">
        <v>19341</v>
      </c>
      <c r="Q6" s="434">
        <v>48479</v>
      </c>
      <c r="R6" s="434">
        <v>19125</v>
      </c>
      <c r="S6" s="434">
        <v>21862</v>
      </c>
      <c r="T6" s="434">
        <v>129958</v>
      </c>
      <c r="U6" s="434">
        <v>23359</v>
      </c>
      <c r="V6" s="434">
        <v>33762</v>
      </c>
      <c r="W6" s="435">
        <f t="shared" si="0"/>
        <v>2609642</v>
      </c>
    </row>
    <row r="7" spans="1:23" ht="35.25" customHeight="1">
      <c r="A7" s="436" t="s">
        <v>41</v>
      </c>
      <c r="B7" s="433">
        <v>109106</v>
      </c>
      <c r="C7" s="433">
        <v>23085</v>
      </c>
      <c r="D7" s="433">
        <v>39686</v>
      </c>
      <c r="E7" s="433">
        <v>901880</v>
      </c>
      <c r="F7" s="433">
        <v>62559</v>
      </c>
      <c r="G7" s="433">
        <v>73452</v>
      </c>
      <c r="H7" s="433">
        <v>33772</v>
      </c>
      <c r="I7" s="434">
        <v>37583</v>
      </c>
      <c r="J7" s="433">
        <v>703034</v>
      </c>
      <c r="K7" s="433">
        <v>71138</v>
      </c>
      <c r="L7" s="433">
        <v>93421</v>
      </c>
      <c r="M7" s="433">
        <v>74865</v>
      </c>
      <c r="N7" s="434">
        <v>37779</v>
      </c>
      <c r="O7" s="434">
        <v>47311</v>
      </c>
      <c r="P7" s="434">
        <v>21544</v>
      </c>
      <c r="Q7" s="434">
        <v>47522</v>
      </c>
      <c r="R7" s="434">
        <v>18896</v>
      </c>
      <c r="S7" s="434">
        <v>20176</v>
      </c>
      <c r="T7" s="434">
        <v>119866</v>
      </c>
      <c r="U7" s="434">
        <v>23169</v>
      </c>
      <c r="V7" s="434">
        <v>30117</v>
      </c>
      <c r="W7" s="435">
        <f t="shared" si="0"/>
        <v>2589961</v>
      </c>
    </row>
    <row r="8" spans="1:23" ht="35.25" customHeight="1">
      <c r="A8" s="436" t="s">
        <v>42</v>
      </c>
      <c r="B8" s="433">
        <v>307060</v>
      </c>
      <c r="C8" s="433">
        <v>24994</v>
      </c>
      <c r="D8" s="433">
        <v>46044</v>
      </c>
      <c r="E8" s="433">
        <v>930284</v>
      </c>
      <c r="F8" s="433">
        <v>70057</v>
      </c>
      <c r="G8" s="433">
        <v>84015</v>
      </c>
      <c r="H8" s="433">
        <v>35624</v>
      </c>
      <c r="I8" s="434">
        <v>41955</v>
      </c>
      <c r="J8" s="433">
        <v>707410</v>
      </c>
      <c r="K8" s="433">
        <v>75704</v>
      </c>
      <c r="L8" s="433">
        <v>96397</v>
      </c>
      <c r="M8" s="433">
        <v>66912</v>
      </c>
      <c r="N8" s="434">
        <v>37999</v>
      </c>
      <c r="O8" s="434">
        <v>50835</v>
      </c>
      <c r="P8" s="434">
        <v>25515</v>
      </c>
      <c r="Q8" s="434">
        <v>38773</v>
      </c>
      <c r="R8" s="434">
        <v>18483</v>
      </c>
      <c r="S8" s="434">
        <v>22053</v>
      </c>
      <c r="T8" s="434">
        <v>126544</v>
      </c>
      <c r="U8" s="434">
        <v>24481</v>
      </c>
      <c r="V8" s="434">
        <v>33354</v>
      </c>
      <c r="W8" s="435">
        <f t="shared" si="0"/>
        <v>2864493</v>
      </c>
    </row>
    <row r="9" spans="1:23" ht="35.25" customHeight="1">
      <c r="A9" s="436" t="s">
        <v>43</v>
      </c>
      <c r="B9" s="433">
        <v>111717</v>
      </c>
      <c r="C9" s="433">
        <v>23288</v>
      </c>
      <c r="D9" s="433">
        <v>38778</v>
      </c>
      <c r="E9" s="433">
        <v>903172</v>
      </c>
      <c r="F9" s="433">
        <v>59517</v>
      </c>
      <c r="G9" s="433">
        <v>78766</v>
      </c>
      <c r="H9" s="433">
        <v>34678</v>
      </c>
      <c r="I9" s="434">
        <v>32588</v>
      </c>
      <c r="J9" s="433">
        <v>723823</v>
      </c>
      <c r="K9" s="433">
        <v>76118</v>
      </c>
      <c r="L9" s="433">
        <v>121692</v>
      </c>
      <c r="M9" s="433">
        <v>74830</v>
      </c>
      <c r="N9" s="434">
        <v>42562</v>
      </c>
      <c r="O9" s="434">
        <v>46925</v>
      </c>
      <c r="P9" s="434">
        <v>20460</v>
      </c>
      <c r="Q9" s="434">
        <v>40491</v>
      </c>
      <c r="R9" s="434">
        <v>16568</v>
      </c>
      <c r="S9" s="434">
        <v>21992</v>
      </c>
      <c r="T9" s="434">
        <v>137308</v>
      </c>
      <c r="U9" s="434">
        <v>23019</v>
      </c>
      <c r="V9" s="434">
        <v>30100</v>
      </c>
      <c r="W9" s="435">
        <f t="shared" si="0"/>
        <v>2658392</v>
      </c>
    </row>
    <row r="10" spans="1:23" ht="35.25" customHeight="1">
      <c r="A10" s="436" t="s">
        <v>405</v>
      </c>
      <c r="B10" s="433">
        <v>115534</v>
      </c>
      <c r="C10" s="433">
        <v>21448</v>
      </c>
      <c r="D10" s="433">
        <v>38705</v>
      </c>
      <c r="E10" s="433">
        <v>944010</v>
      </c>
      <c r="F10" s="433">
        <v>72866</v>
      </c>
      <c r="G10" s="433">
        <v>91840</v>
      </c>
      <c r="H10" s="433">
        <v>38029</v>
      </c>
      <c r="I10" s="434">
        <v>27287</v>
      </c>
      <c r="J10" s="433">
        <v>707957</v>
      </c>
      <c r="K10" s="433">
        <v>75968</v>
      </c>
      <c r="L10" s="433">
        <v>141717</v>
      </c>
      <c r="M10" s="433">
        <v>70301</v>
      </c>
      <c r="N10" s="434">
        <v>42015</v>
      </c>
      <c r="O10" s="434">
        <v>45330</v>
      </c>
      <c r="P10" s="434">
        <v>19270</v>
      </c>
      <c r="Q10" s="434">
        <v>39258</v>
      </c>
      <c r="R10" s="434">
        <v>16184</v>
      </c>
      <c r="S10" s="434">
        <v>21760</v>
      </c>
      <c r="T10" s="434">
        <v>135780</v>
      </c>
      <c r="U10" s="434">
        <v>23685</v>
      </c>
      <c r="V10" s="434">
        <v>32536</v>
      </c>
      <c r="W10" s="435">
        <f t="shared" si="0"/>
        <v>2721480</v>
      </c>
    </row>
    <row r="11" spans="1:23" ht="35.25" customHeight="1">
      <c r="A11" s="436" t="s">
        <v>45</v>
      </c>
      <c r="B11" s="433">
        <v>117457</v>
      </c>
      <c r="C11" s="433">
        <v>20755</v>
      </c>
      <c r="D11" s="433">
        <v>39549</v>
      </c>
      <c r="E11" s="433">
        <v>932194</v>
      </c>
      <c r="F11" s="433">
        <v>68609</v>
      </c>
      <c r="G11" s="433">
        <v>86399</v>
      </c>
      <c r="H11" s="433">
        <v>36964</v>
      </c>
      <c r="I11" s="434">
        <v>26163</v>
      </c>
      <c r="J11" s="433">
        <v>709790</v>
      </c>
      <c r="K11" s="433">
        <v>71493</v>
      </c>
      <c r="L11" s="433">
        <v>123067</v>
      </c>
      <c r="M11" s="433">
        <v>69755</v>
      </c>
      <c r="N11" s="434">
        <v>37317</v>
      </c>
      <c r="O11" s="434">
        <v>47228</v>
      </c>
      <c r="P11" s="434">
        <v>17852</v>
      </c>
      <c r="Q11" s="434">
        <v>40613</v>
      </c>
      <c r="R11" s="434">
        <v>15138</v>
      </c>
      <c r="S11" s="434">
        <v>23682</v>
      </c>
      <c r="T11" s="434">
        <v>128732</v>
      </c>
      <c r="U11" s="434">
        <v>24490</v>
      </c>
      <c r="V11" s="434">
        <v>30279</v>
      </c>
      <c r="W11" s="435">
        <f t="shared" si="0"/>
        <v>2667526</v>
      </c>
    </row>
    <row r="12" spans="1:23" ht="35.25" customHeight="1">
      <c r="A12" s="436" t="s">
        <v>406</v>
      </c>
      <c r="B12" s="433">
        <v>113212</v>
      </c>
      <c r="C12" s="433">
        <v>19521</v>
      </c>
      <c r="D12" s="433">
        <v>40101</v>
      </c>
      <c r="E12" s="433">
        <v>928323</v>
      </c>
      <c r="F12" s="433">
        <v>69577</v>
      </c>
      <c r="G12" s="433">
        <v>72333</v>
      </c>
      <c r="H12" s="433">
        <v>39056</v>
      </c>
      <c r="I12" s="434">
        <v>24208</v>
      </c>
      <c r="J12" s="433">
        <v>672515</v>
      </c>
      <c r="K12" s="433">
        <v>67368</v>
      </c>
      <c r="L12" s="433">
        <v>101032</v>
      </c>
      <c r="M12" s="433">
        <v>68221</v>
      </c>
      <c r="N12" s="434">
        <v>36566</v>
      </c>
      <c r="O12" s="434">
        <v>47119</v>
      </c>
      <c r="P12" s="434">
        <v>17648</v>
      </c>
      <c r="Q12" s="434">
        <v>41291</v>
      </c>
      <c r="R12" s="434">
        <v>14473</v>
      </c>
      <c r="S12" s="434">
        <v>23954</v>
      </c>
      <c r="T12" s="434">
        <v>118691</v>
      </c>
      <c r="U12" s="434">
        <v>23960</v>
      </c>
      <c r="V12" s="434">
        <v>27050</v>
      </c>
      <c r="W12" s="435">
        <f t="shared" si="0"/>
        <v>2566219</v>
      </c>
    </row>
    <row r="13" spans="1:23" ht="35.25" customHeight="1">
      <c r="A13" s="436" t="s">
        <v>47</v>
      </c>
      <c r="B13" s="433">
        <v>116514</v>
      </c>
      <c r="C13" s="433">
        <v>22525</v>
      </c>
      <c r="D13" s="433">
        <v>40671</v>
      </c>
      <c r="E13" s="433">
        <v>900928</v>
      </c>
      <c r="F13" s="433">
        <v>71269</v>
      </c>
      <c r="G13" s="433">
        <v>74957</v>
      </c>
      <c r="H13" s="433">
        <v>36115</v>
      </c>
      <c r="I13" s="434">
        <v>24135</v>
      </c>
      <c r="J13" s="433">
        <v>695976</v>
      </c>
      <c r="K13" s="433">
        <v>72956</v>
      </c>
      <c r="L13" s="433">
        <v>91536</v>
      </c>
      <c r="M13" s="433">
        <v>72765</v>
      </c>
      <c r="N13" s="434">
        <v>42573</v>
      </c>
      <c r="O13" s="434">
        <v>48118</v>
      </c>
      <c r="P13" s="434">
        <v>17930</v>
      </c>
      <c r="Q13" s="434">
        <v>39961</v>
      </c>
      <c r="R13" s="434">
        <v>16640</v>
      </c>
      <c r="S13" s="434">
        <v>22938</v>
      </c>
      <c r="T13" s="434">
        <v>137805</v>
      </c>
      <c r="U13" s="434">
        <v>25230</v>
      </c>
      <c r="V13" s="434">
        <v>32514</v>
      </c>
      <c r="W13" s="435">
        <f t="shared" si="0"/>
        <v>2604056</v>
      </c>
    </row>
    <row r="14" spans="1:23" ht="35.25" customHeight="1" thickBot="1">
      <c r="A14" s="437" t="s">
        <v>48</v>
      </c>
      <c r="B14" s="433">
        <v>115045</v>
      </c>
      <c r="C14" s="433">
        <v>22550</v>
      </c>
      <c r="D14" s="433">
        <v>35948</v>
      </c>
      <c r="E14" s="433">
        <v>822298</v>
      </c>
      <c r="F14" s="433">
        <v>60927</v>
      </c>
      <c r="G14" s="433">
        <v>67925</v>
      </c>
      <c r="H14" s="433">
        <v>30868</v>
      </c>
      <c r="I14" s="434">
        <v>22100</v>
      </c>
      <c r="J14" s="433">
        <v>593114</v>
      </c>
      <c r="K14" s="433">
        <v>61876</v>
      </c>
      <c r="L14" s="433">
        <v>88980</v>
      </c>
      <c r="M14" s="433">
        <v>62819</v>
      </c>
      <c r="N14" s="434">
        <v>37981</v>
      </c>
      <c r="O14" s="434">
        <v>44952</v>
      </c>
      <c r="P14" s="434">
        <v>16373</v>
      </c>
      <c r="Q14" s="434">
        <v>36914</v>
      </c>
      <c r="R14" s="434">
        <v>13935</v>
      </c>
      <c r="S14" s="434">
        <v>20322</v>
      </c>
      <c r="T14" s="434">
        <v>128328</v>
      </c>
      <c r="U14" s="434">
        <v>23120</v>
      </c>
      <c r="V14" s="434">
        <v>31918</v>
      </c>
      <c r="W14" s="435">
        <f t="shared" si="0"/>
        <v>2338293</v>
      </c>
    </row>
    <row r="15" spans="1:23" ht="46.5" customHeight="1" thickBot="1">
      <c r="A15" s="427" t="s">
        <v>49</v>
      </c>
      <c r="B15" s="438">
        <f t="shared" ref="B15:W15" si="1">SUM(B3:B14)</f>
        <v>1535840</v>
      </c>
      <c r="C15" s="438">
        <f t="shared" si="1"/>
        <v>268122</v>
      </c>
      <c r="D15" s="438">
        <f t="shared" si="1"/>
        <v>474367</v>
      </c>
      <c r="E15" s="438">
        <f t="shared" si="1"/>
        <v>10887078</v>
      </c>
      <c r="F15" s="438">
        <f t="shared" si="1"/>
        <v>828548</v>
      </c>
      <c r="G15" s="438">
        <f t="shared" si="1"/>
        <v>967170</v>
      </c>
      <c r="H15" s="438">
        <f t="shared" si="1"/>
        <v>433968</v>
      </c>
      <c r="I15" s="438">
        <f t="shared" si="1"/>
        <v>414134</v>
      </c>
      <c r="J15" s="438">
        <f t="shared" si="1"/>
        <v>8418329</v>
      </c>
      <c r="K15" s="438">
        <f t="shared" si="1"/>
        <v>841540</v>
      </c>
      <c r="L15" s="438">
        <f t="shared" si="1"/>
        <v>1365142</v>
      </c>
      <c r="M15" s="438">
        <f t="shared" si="1"/>
        <v>858972</v>
      </c>
      <c r="N15" s="438">
        <f t="shared" si="1"/>
        <v>490320</v>
      </c>
      <c r="O15" s="438">
        <f t="shared" si="1"/>
        <v>570498</v>
      </c>
      <c r="P15" s="438">
        <f t="shared" si="1"/>
        <v>209272</v>
      </c>
      <c r="Q15" s="438">
        <f t="shared" si="1"/>
        <v>531122</v>
      </c>
      <c r="R15" s="438">
        <f t="shared" si="1"/>
        <v>202540</v>
      </c>
      <c r="S15" s="438">
        <f t="shared" si="1"/>
        <v>282085</v>
      </c>
      <c r="T15" s="438">
        <f t="shared" si="1"/>
        <v>1540645</v>
      </c>
      <c r="U15" s="438">
        <f t="shared" si="1"/>
        <v>280909</v>
      </c>
      <c r="V15" s="438">
        <f t="shared" si="1"/>
        <v>383526</v>
      </c>
      <c r="W15" s="439">
        <f t="shared" si="1"/>
        <v>31784127</v>
      </c>
    </row>
    <row r="16" spans="1:23" ht="35.25" customHeight="1">
      <c r="A16" s="3019" t="s">
        <v>684</v>
      </c>
      <c r="B16" s="3019"/>
      <c r="C16" s="3019"/>
      <c r="D16" s="3019"/>
      <c r="E16" s="3019"/>
      <c r="F16" s="3019"/>
      <c r="G16" s="3019"/>
      <c r="H16" s="3019"/>
      <c r="I16" s="3019"/>
      <c r="J16" s="3019"/>
      <c r="K16" s="3019"/>
      <c r="L16" s="3019"/>
      <c r="M16" s="3019"/>
      <c r="N16" s="3019"/>
      <c r="O16" s="3019"/>
      <c r="P16" s="3019"/>
      <c r="Q16" s="3019"/>
      <c r="R16" s="3019"/>
      <c r="S16" s="3019"/>
      <c r="T16" s="3019"/>
      <c r="U16" s="3019"/>
      <c r="V16" s="3019"/>
      <c r="W16" s="3019"/>
    </row>
    <row r="17" spans="1:23" ht="22.5" customHeight="1">
      <c r="A17" s="3020" t="s">
        <v>685</v>
      </c>
      <c r="B17" s="3020"/>
      <c r="C17" s="3020"/>
      <c r="D17" s="3020"/>
      <c r="E17" s="3020"/>
      <c r="F17" s="3020"/>
      <c r="G17" s="3020"/>
      <c r="H17" s="3020"/>
      <c r="I17" s="3020"/>
      <c r="J17" s="3020"/>
      <c r="K17" s="3020"/>
      <c r="L17" s="3020"/>
      <c r="M17" s="3020"/>
      <c r="N17" s="3020"/>
      <c r="O17" s="3020"/>
      <c r="P17" s="3020"/>
      <c r="Q17" s="3020"/>
      <c r="R17" s="3020"/>
      <c r="S17" s="3020"/>
      <c r="T17" s="3020"/>
      <c r="U17" s="3020"/>
      <c r="V17" s="3020"/>
      <c r="W17" s="3020"/>
    </row>
    <row r="18" spans="1:23" ht="60.75" hidden="1" customHeight="1">
      <c r="A18" s="76" t="s">
        <v>686</v>
      </c>
      <c r="C18" s="76" t="s">
        <v>687</v>
      </c>
      <c r="D18" s="76" t="s">
        <v>688</v>
      </c>
      <c r="E18" s="76" t="s">
        <v>689</v>
      </c>
      <c r="F18" s="76" t="s">
        <v>690</v>
      </c>
      <c r="G18" s="76" t="s">
        <v>691</v>
      </c>
      <c r="H18" s="76" t="s">
        <v>692</v>
      </c>
      <c r="I18" s="76" t="s">
        <v>693</v>
      </c>
      <c r="J18" s="76" t="s">
        <v>694</v>
      </c>
      <c r="K18" s="76" t="s">
        <v>695</v>
      </c>
      <c r="L18" s="76" t="s">
        <v>696</v>
      </c>
      <c r="M18" s="76" t="s">
        <v>697</v>
      </c>
      <c r="N18" s="76" t="s">
        <v>698</v>
      </c>
      <c r="O18" s="76" t="s">
        <v>699</v>
      </c>
      <c r="P18" s="76" t="s">
        <v>700</v>
      </c>
      <c r="Q18" s="76" t="s">
        <v>701</v>
      </c>
      <c r="R18" s="76" t="s">
        <v>702</v>
      </c>
      <c r="S18" s="76" t="s">
        <v>703</v>
      </c>
      <c r="T18" s="76" t="s">
        <v>704</v>
      </c>
      <c r="U18" s="76" t="s">
        <v>705</v>
      </c>
      <c r="V18" s="76" t="s">
        <v>706</v>
      </c>
      <c r="W18" s="76" t="s">
        <v>707</v>
      </c>
    </row>
    <row r="19" spans="1:23" ht="60.75" hidden="1" customHeight="1">
      <c r="A19" s="76">
        <v>1</v>
      </c>
      <c r="C19" s="76">
        <v>132173</v>
      </c>
      <c r="D19" s="76">
        <v>43746</v>
      </c>
      <c r="E19" s="76">
        <v>17200</v>
      </c>
      <c r="F19" s="76">
        <v>714672</v>
      </c>
      <c r="G19" s="76">
        <v>59717</v>
      </c>
      <c r="H19" s="76">
        <v>48165</v>
      </c>
      <c r="I19" s="76">
        <v>24650</v>
      </c>
      <c r="J19" s="76">
        <v>649730</v>
      </c>
      <c r="K19" s="76">
        <v>117641</v>
      </c>
      <c r="L19" s="76">
        <v>133363</v>
      </c>
      <c r="M19" s="76">
        <v>63466</v>
      </c>
      <c r="N19" s="76">
        <v>55995</v>
      </c>
      <c r="O19" s="76">
        <v>42434</v>
      </c>
      <c r="P19" s="76">
        <v>9026</v>
      </c>
      <c r="Q19" s="76">
        <v>53809</v>
      </c>
      <c r="R19" s="76">
        <v>18711</v>
      </c>
      <c r="S19" s="76">
        <v>109555</v>
      </c>
      <c r="T19" s="76">
        <v>47957</v>
      </c>
      <c r="U19" s="76">
        <v>22297</v>
      </c>
    </row>
    <row r="20" spans="1:23" ht="60.75" hidden="1" customHeight="1">
      <c r="A20" s="76">
        <v>2</v>
      </c>
      <c r="C20" s="76">
        <v>104463</v>
      </c>
      <c r="D20" s="76">
        <v>30686</v>
      </c>
      <c r="E20" s="76">
        <v>16048</v>
      </c>
      <c r="F20" s="76">
        <v>801954</v>
      </c>
      <c r="G20" s="76">
        <v>62807</v>
      </c>
      <c r="H20" s="76">
        <v>50785</v>
      </c>
      <c r="I20" s="76">
        <v>20782</v>
      </c>
      <c r="J20" s="76">
        <v>545305</v>
      </c>
      <c r="K20" s="76">
        <v>105069</v>
      </c>
      <c r="L20" s="76">
        <v>127981</v>
      </c>
      <c r="M20" s="76">
        <v>58463</v>
      </c>
      <c r="N20" s="76">
        <v>56911</v>
      </c>
      <c r="O20" s="76">
        <v>41372</v>
      </c>
      <c r="P20" s="76">
        <v>8435</v>
      </c>
      <c r="Q20" s="76">
        <v>41681</v>
      </c>
      <c r="R20" s="76">
        <v>12890</v>
      </c>
      <c r="S20" s="76">
        <v>103885</v>
      </c>
      <c r="T20" s="76">
        <v>44249</v>
      </c>
      <c r="U20" s="76">
        <v>24003</v>
      </c>
    </row>
    <row r="21" spans="1:23" ht="60.75" hidden="1" customHeight="1">
      <c r="A21" s="76">
        <v>3</v>
      </c>
      <c r="C21" s="76">
        <v>76836</v>
      </c>
      <c r="D21" s="76">
        <v>23451</v>
      </c>
      <c r="E21" s="76">
        <v>15611</v>
      </c>
      <c r="F21" s="76">
        <v>709573</v>
      </c>
      <c r="G21" s="76">
        <v>55093</v>
      </c>
      <c r="H21" s="76">
        <v>42755</v>
      </c>
      <c r="I21" s="76">
        <v>13895</v>
      </c>
      <c r="J21" s="76">
        <v>469109</v>
      </c>
      <c r="K21" s="76">
        <v>97317</v>
      </c>
      <c r="L21" s="76">
        <v>92620</v>
      </c>
      <c r="M21" s="76">
        <v>60460</v>
      </c>
      <c r="N21" s="76">
        <v>48906</v>
      </c>
      <c r="O21" s="76">
        <v>42529</v>
      </c>
      <c r="P21" s="76">
        <v>7687</v>
      </c>
      <c r="Q21" s="76">
        <v>41400</v>
      </c>
      <c r="R21" s="76">
        <v>10728</v>
      </c>
      <c r="S21" s="76">
        <v>85874</v>
      </c>
      <c r="T21" s="76">
        <v>30470</v>
      </c>
      <c r="U21" s="76">
        <v>20795</v>
      </c>
    </row>
    <row r="22" spans="1:23" ht="60.75" hidden="1" customHeight="1">
      <c r="A22" s="76">
        <v>4</v>
      </c>
      <c r="C22" s="76">
        <v>125729</v>
      </c>
      <c r="D22" s="76">
        <v>20523</v>
      </c>
      <c r="E22" s="76">
        <v>29279</v>
      </c>
      <c r="F22" s="76">
        <v>864590</v>
      </c>
      <c r="G22" s="76">
        <v>66993</v>
      </c>
      <c r="H22" s="76">
        <v>65135</v>
      </c>
      <c r="I22" s="76">
        <v>17403</v>
      </c>
      <c r="J22" s="76">
        <v>649351</v>
      </c>
      <c r="K22" s="76">
        <v>115580</v>
      </c>
      <c r="L22" s="76">
        <v>95086</v>
      </c>
      <c r="M22" s="76">
        <v>62761</v>
      </c>
      <c r="N22" s="76">
        <v>58955</v>
      </c>
      <c r="O22" s="76">
        <v>48365</v>
      </c>
      <c r="P22" s="76">
        <v>9479</v>
      </c>
      <c r="Q22" s="76">
        <v>51314</v>
      </c>
      <c r="R22" s="76">
        <v>10893</v>
      </c>
      <c r="S22" s="76">
        <v>104091</v>
      </c>
      <c r="T22" s="76">
        <v>36294</v>
      </c>
      <c r="U22" s="76">
        <v>24938</v>
      </c>
    </row>
    <row r="23" spans="1:23" ht="60.75" hidden="1" customHeight="1">
      <c r="A23" s="76">
        <v>5</v>
      </c>
      <c r="C23" s="76">
        <v>130954</v>
      </c>
      <c r="D23" s="76">
        <v>22695</v>
      </c>
      <c r="E23" s="76">
        <v>31981</v>
      </c>
      <c r="F23" s="76">
        <v>937008</v>
      </c>
      <c r="G23" s="76">
        <v>66790</v>
      </c>
      <c r="H23" s="76">
        <v>60164</v>
      </c>
      <c r="I23" s="76">
        <v>16076</v>
      </c>
      <c r="J23" s="76">
        <v>743518</v>
      </c>
      <c r="K23" s="76">
        <v>109836</v>
      </c>
      <c r="L23" s="76">
        <v>99028</v>
      </c>
      <c r="M23" s="76">
        <v>68821</v>
      </c>
      <c r="N23" s="76">
        <v>58196</v>
      </c>
      <c r="O23" s="76">
        <v>51450</v>
      </c>
      <c r="P23" s="76">
        <v>9555</v>
      </c>
      <c r="Q23" s="76">
        <v>53641</v>
      </c>
      <c r="R23" s="76">
        <v>14471</v>
      </c>
      <c r="S23" s="76">
        <v>117145</v>
      </c>
      <c r="T23" s="76">
        <v>35574</v>
      </c>
      <c r="U23" s="76">
        <v>24919</v>
      </c>
    </row>
    <row r="24" spans="1:23" ht="60.75" hidden="1" customHeight="1">
      <c r="A24" s="76">
        <v>6</v>
      </c>
      <c r="C24" s="76">
        <v>110345</v>
      </c>
      <c r="D24" s="76">
        <v>21197</v>
      </c>
      <c r="E24" s="76">
        <v>28479</v>
      </c>
      <c r="F24" s="76">
        <v>916521</v>
      </c>
      <c r="G24" s="76">
        <v>69029</v>
      </c>
      <c r="H24" s="76">
        <v>64065</v>
      </c>
      <c r="I24" s="76">
        <v>18223</v>
      </c>
      <c r="J24" s="76">
        <v>770100</v>
      </c>
      <c r="K24" s="76">
        <v>128093</v>
      </c>
      <c r="L24" s="76">
        <v>101977</v>
      </c>
      <c r="M24" s="76">
        <v>71795</v>
      </c>
      <c r="N24" s="76">
        <v>52101</v>
      </c>
      <c r="O24" s="76">
        <v>51758</v>
      </c>
      <c r="P24" s="76">
        <v>10302</v>
      </c>
      <c r="Q24" s="76">
        <v>53247</v>
      </c>
      <c r="R24" s="76">
        <v>14708</v>
      </c>
      <c r="S24" s="76">
        <v>114683</v>
      </c>
      <c r="T24" s="76">
        <v>36031</v>
      </c>
      <c r="U24" s="76">
        <v>25988</v>
      </c>
    </row>
    <row r="25" spans="1:23" ht="60.75" hidden="1" customHeight="1">
      <c r="A25" s="76">
        <v>7</v>
      </c>
      <c r="C25" s="76">
        <v>101944</v>
      </c>
      <c r="D25" s="76">
        <v>15817</v>
      </c>
      <c r="E25" s="76">
        <v>25464</v>
      </c>
      <c r="F25" s="76">
        <v>809712</v>
      </c>
      <c r="G25" s="76">
        <v>62664</v>
      </c>
      <c r="H25" s="76">
        <v>62188</v>
      </c>
      <c r="I25" s="76">
        <v>15888</v>
      </c>
      <c r="J25" s="76">
        <v>597468</v>
      </c>
      <c r="K25" s="76">
        <v>108040</v>
      </c>
      <c r="L25" s="76">
        <v>137128</v>
      </c>
      <c r="M25" s="76">
        <v>63918</v>
      </c>
      <c r="N25" s="76">
        <v>50908</v>
      </c>
      <c r="O25" s="76">
        <v>40793</v>
      </c>
      <c r="P25" s="76">
        <v>7900</v>
      </c>
      <c r="Q25" s="76">
        <v>40252</v>
      </c>
      <c r="R25" s="76">
        <v>9216</v>
      </c>
      <c r="S25" s="76">
        <v>105571</v>
      </c>
      <c r="T25" s="76">
        <v>34331</v>
      </c>
      <c r="U25" s="76">
        <v>21701</v>
      </c>
    </row>
    <row r="26" spans="1:23" ht="60.75" hidden="1" customHeight="1">
      <c r="A26" s="76">
        <v>8</v>
      </c>
      <c r="C26" s="76">
        <v>165138</v>
      </c>
      <c r="D26" s="76">
        <v>15001</v>
      </c>
      <c r="E26" s="76">
        <v>32076</v>
      </c>
      <c r="F26" s="76">
        <v>816786</v>
      </c>
      <c r="G26" s="76">
        <v>67482</v>
      </c>
      <c r="H26" s="76">
        <v>47286</v>
      </c>
      <c r="I26" s="76">
        <v>18330</v>
      </c>
      <c r="J26" s="76">
        <v>609603</v>
      </c>
      <c r="K26" s="76">
        <v>117515</v>
      </c>
      <c r="L26" s="76">
        <v>142633</v>
      </c>
      <c r="M26" s="76">
        <v>62155</v>
      </c>
      <c r="N26" s="76">
        <v>48491</v>
      </c>
      <c r="O26" s="76">
        <v>40094</v>
      </c>
      <c r="P26" s="76">
        <v>7930</v>
      </c>
      <c r="Q26" s="76">
        <v>45273</v>
      </c>
      <c r="R26" s="76">
        <v>10726</v>
      </c>
      <c r="S26" s="76">
        <v>110777</v>
      </c>
      <c r="T26" s="76">
        <v>31238</v>
      </c>
      <c r="U26" s="76">
        <v>18056</v>
      </c>
    </row>
    <row r="27" spans="1:23" ht="60.75" hidden="1" customHeight="1">
      <c r="A27" s="76">
        <v>9</v>
      </c>
      <c r="C27" s="76">
        <v>105750</v>
      </c>
      <c r="D27" s="76">
        <v>16921</v>
      </c>
      <c r="E27" s="76">
        <v>17976</v>
      </c>
      <c r="F27" s="76">
        <v>802171</v>
      </c>
      <c r="G27" s="76">
        <v>63763</v>
      </c>
      <c r="H27" s="76">
        <v>55435</v>
      </c>
      <c r="I27" s="76">
        <v>19787</v>
      </c>
      <c r="J27" s="76">
        <v>585546</v>
      </c>
      <c r="K27" s="76">
        <v>113734</v>
      </c>
      <c r="L27" s="76">
        <v>134339</v>
      </c>
      <c r="M27" s="76">
        <v>54864</v>
      </c>
      <c r="N27" s="76">
        <v>50504</v>
      </c>
      <c r="O27" s="76">
        <v>35970</v>
      </c>
      <c r="P27" s="76">
        <v>8026</v>
      </c>
      <c r="Q27" s="76">
        <v>51818</v>
      </c>
      <c r="R27" s="76">
        <v>10633</v>
      </c>
      <c r="S27" s="76">
        <v>103826</v>
      </c>
      <c r="T27" s="76">
        <v>34507</v>
      </c>
      <c r="U27" s="76">
        <v>18594</v>
      </c>
    </row>
    <row r="28" spans="1:23" ht="60.75" hidden="1" customHeight="1">
      <c r="A28" s="76">
        <v>10</v>
      </c>
      <c r="C28" s="76">
        <v>90829</v>
      </c>
      <c r="D28" s="76">
        <v>14488</v>
      </c>
      <c r="E28" s="76">
        <v>16457</v>
      </c>
      <c r="F28" s="76">
        <v>799316</v>
      </c>
      <c r="G28" s="76">
        <v>57937</v>
      </c>
      <c r="H28" s="76">
        <v>58010</v>
      </c>
      <c r="I28" s="76">
        <v>18743</v>
      </c>
      <c r="J28" s="76">
        <v>496791</v>
      </c>
      <c r="K28" s="76">
        <v>106358</v>
      </c>
      <c r="L28" s="76">
        <v>109009</v>
      </c>
      <c r="M28" s="76">
        <v>46696</v>
      </c>
      <c r="N28" s="76">
        <v>44049</v>
      </c>
      <c r="O28" s="76">
        <v>33860</v>
      </c>
      <c r="P28" s="76">
        <v>7535</v>
      </c>
      <c r="Q28" s="76">
        <v>51841</v>
      </c>
      <c r="R28" s="76">
        <v>10187</v>
      </c>
      <c r="S28" s="76">
        <v>85851</v>
      </c>
      <c r="T28" s="76">
        <v>33342</v>
      </c>
      <c r="U28" s="76">
        <v>18524</v>
      </c>
      <c r="V28" s="76">
        <v>7974</v>
      </c>
    </row>
    <row r="29" spans="1:23" ht="60.75" hidden="1" customHeight="1">
      <c r="A29" s="76">
        <v>11</v>
      </c>
      <c r="C29" s="76">
        <v>114977</v>
      </c>
      <c r="D29" s="76">
        <v>18018</v>
      </c>
      <c r="E29" s="76">
        <v>18513</v>
      </c>
      <c r="F29" s="76">
        <v>838064</v>
      </c>
      <c r="G29" s="76">
        <v>62948</v>
      </c>
      <c r="H29" s="76">
        <v>52397</v>
      </c>
      <c r="I29" s="76">
        <v>22813</v>
      </c>
      <c r="J29" s="76">
        <v>607462</v>
      </c>
      <c r="K29" s="76">
        <v>111221</v>
      </c>
      <c r="L29" s="76">
        <v>117062</v>
      </c>
      <c r="M29" s="76">
        <v>58393</v>
      </c>
      <c r="N29" s="76">
        <v>48436</v>
      </c>
      <c r="O29" s="76">
        <v>44648</v>
      </c>
      <c r="P29" s="76">
        <v>8609</v>
      </c>
      <c r="Q29" s="76">
        <v>57672</v>
      </c>
      <c r="R29" s="76">
        <v>12968</v>
      </c>
      <c r="S29" s="76">
        <v>102182</v>
      </c>
      <c r="T29" s="76">
        <v>33826</v>
      </c>
      <c r="U29" s="76">
        <v>19528</v>
      </c>
      <c r="V29" s="76">
        <v>9028</v>
      </c>
    </row>
    <row r="30" spans="1:23" ht="60.75" hidden="1" customHeight="1">
      <c r="A30" s="76">
        <v>12</v>
      </c>
      <c r="C30" s="76">
        <v>127571</v>
      </c>
      <c r="D30" s="76">
        <v>18446</v>
      </c>
      <c r="E30" s="76">
        <v>19242</v>
      </c>
      <c r="F30" s="76">
        <v>828482</v>
      </c>
      <c r="G30" s="76">
        <v>58074</v>
      </c>
      <c r="H30" s="76">
        <v>52848</v>
      </c>
      <c r="I30" s="76">
        <v>19961</v>
      </c>
      <c r="J30" s="76">
        <v>562568</v>
      </c>
      <c r="K30" s="76">
        <v>104608</v>
      </c>
      <c r="L30" s="76">
        <v>112143</v>
      </c>
      <c r="M30" s="76">
        <v>59377</v>
      </c>
      <c r="N30" s="76">
        <v>49393</v>
      </c>
      <c r="O30" s="76">
        <v>43188</v>
      </c>
      <c r="P30" s="76">
        <v>8509</v>
      </c>
      <c r="Q30" s="76">
        <v>55282</v>
      </c>
      <c r="R30" s="76">
        <v>11509</v>
      </c>
      <c r="S30" s="76">
        <v>96300</v>
      </c>
      <c r="T30" s="76">
        <v>34190</v>
      </c>
      <c r="U30" s="76">
        <v>18165</v>
      </c>
      <c r="V30" s="76">
        <v>9585</v>
      </c>
      <c r="W30" s="76">
        <v>912</v>
      </c>
    </row>
    <row r="31" spans="1:23" ht="60.75" hidden="1" customHeight="1">
      <c r="A31" s="76" t="s">
        <v>708</v>
      </c>
      <c r="C31" s="76">
        <v>1386709</v>
      </c>
      <c r="D31" s="76">
        <v>260989</v>
      </c>
      <c r="E31" s="76">
        <v>268326</v>
      </c>
      <c r="F31" s="76">
        <v>9838849</v>
      </c>
      <c r="G31" s="76">
        <v>753297</v>
      </c>
      <c r="H31" s="76">
        <v>659233</v>
      </c>
      <c r="I31" s="76">
        <v>226551</v>
      </c>
      <c r="J31" s="76">
        <v>7286551</v>
      </c>
      <c r="K31" s="76">
        <v>1335012</v>
      </c>
      <c r="L31" s="76">
        <v>1402369</v>
      </c>
      <c r="M31" s="76">
        <v>731169</v>
      </c>
      <c r="N31" s="76">
        <v>622845</v>
      </c>
      <c r="O31" s="76">
        <v>516461</v>
      </c>
      <c r="P31" s="76">
        <v>102993</v>
      </c>
      <c r="Q31" s="76">
        <v>597230</v>
      </c>
      <c r="R31" s="76">
        <v>147640</v>
      </c>
      <c r="S31" s="76">
        <v>1239740</v>
      </c>
      <c r="T31" s="76">
        <v>432009</v>
      </c>
      <c r="U31" s="76">
        <v>257508</v>
      </c>
      <c r="V31" s="76">
        <v>26587</v>
      </c>
      <c r="W31" s="76">
        <v>912</v>
      </c>
    </row>
    <row r="32" spans="1:23" ht="60.75" hidden="1" customHeight="1"/>
    <row r="33" spans="5:5" ht="60.75" customHeight="1">
      <c r="E33" s="440"/>
    </row>
  </sheetData>
  <mergeCells count="3">
    <mergeCell ref="A1:W1"/>
    <mergeCell ref="A16:W16"/>
    <mergeCell ref="A17:W17"/>
  </mergeCells>
  <printOptions horizontalCentered="1" verticalCentered="1"/>
  <pageMargins left="0.39370078740157483" right="0.39370078740157483" top="0.78740157480314965" bottom="0.78740157480314965" header="0" footer="0"/>
  <pageSetup paperSize="9" scale="5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</sheetPr>
  <dimension ref="A18:M44"/>
  <sheetViews>
    <sheetView rightToLeft="1" topLeftCell="A18" zoomScale="115" zoomScaleNormal="115" workbookViewId="0">
      <selection activeCell="E36" sqref="E36"/>
    </sheetView>
  </sheetViews>
  <sheetFormatPr defaultColWidth="10.375" defaultRowHeight="15.75"/>
  <cols>
    <col min="1" max="1" width="21.25" style="77" customWidth="1"/>
    <col min="2" max="3" width="18" style="77" customWidth="1"/>
    <col min="4" max="5" width="15.625" style="77" customWidth="1"/>
    <col min="6" max="6" width="0" style="77" hidden="1" customWidth="1"/>
    <col min="7" max="7" width="9.875" style="77" hidden="1" customWidth="1"/>
    <col min="8" max="9" width="0" style="77" hidden="1" customWidth="1"/>
    <col min="10" max="16384" width="10.375" style="77"/>
  </cols>
  <sheetData>
    <row r="18" spans="1:11" ht="24.75" thickBot="1">
      <c r="A18" s="3022" t="s">
        <v>709</v>
      </c>
      <c r="B18" s="3022"/>
      <c r="C18" s="3022"/>
      <c r="D18" s="3022"/>
      <c r="E18" s="3022"/>
    </row>
    <row r="19" spans="1:11" ht="16.5" thickBot="1">
      <c r="A19" s="2942" t="s">
        <v>1</v>
      </c>
      <c r="B19" s="2945" t="s">
        <v>283</v>
      </c>
      <c r="C19" s="2948"/>
      <c r="D19" s="3024" t="s">
        <v>318</v>
      </c>
      <c r="E19" s="2940" t="s">
        <v>284</v>
      </c>
    </row>
    <row r="20" spans="1:11" ht="20.25" thickBot="1">
      <c r="A20" s="3023"/>
      <c r="B20" s="441">
        <v>1401</v>
      </c>
      <c r="C20" s="441">
        <v>1402</v>
      </c>
      <c r="D20" s="3025"/>
      <c r="E20" s="2947"/>
      <c r="H20" s="442">
        <v>21147560</v>
      </c>
    </row>
    <row r="21" spans="1:11" ht="16.5" customHeight="1">
      <c r="A21" s="173" t="s">
        <v>68</v>
      </c>
      <c r="B21" s="443">
        <v>1431218</v>
      </c>
      <c r="C21" s="443">
        <v>1535840</v>
      </c>
      <c r="D21" s="444">
        <f t="shared" ref="D21:D42" si="0">C21-B21</f>
        <v>104622</v>
      </c>
      <c r="E21" s="445">
        <f t="shared" ref="E21:E42" si="1">D21/B21</f>
        <v>7.3099974986340299E-2</v>
      </c>
      <c r="F21" s="77" t="s">
        <v>687</v>
      </c>
      <c r="G21" s="77">
        <v>1386709</v>
      </c>
      <c r="H21" s="446"/>
      <c r="J21" s="447"/>
      <c r="K21" s="447"/>
    </row>
    <row r="22" spans="1:11" ht="16.5" customHeight="1">
      <c r="A22" s="173" t="s">
        <v>69</v>
      </c>
      <c r="B22" s="448">
        <v>245007</v>
      </c>
      <c r="C22" s="448">
        <v>268122</v>
      </c>
      <c r="D22" s="444">
        <f t="shared" si="0"/>
        <v>23115</v>
      </c>
      <c r="E22" s="449">
        <f t="shared" si="1"/>
        <v>9.4344243225703756E-2</v>
      </c>
      <c r="F22" s="77" t="s">
        <v>688</v>
      </c>
      <c r="G22" s="77">
        <v>260989</v>
      </c>
      <c r="H22" s="446">
        <v>6686140</v>
      </c>
      <c r="J22" s="447"/>
      <c r="K22" s="447"/>
    </row>
    <row r="23" spans="1:11" ht="16.5" customHeight="1">
      <c r="A23" s="173" t="s">
        <v>70</v>
      </c>
      <c r="B23" s="448">
        <v>421430</v>
      </c>
      <c r="C23" s="448">
        <v>474367</v>
      </c>
      <c r="D23" s="444">
        <f t="shared" si="0"/>
        <v>52937</v>
      </c>
      <c r="E23" s="449">
        <f t="shared" si="1"/>
        <v>0.12561279453289989</v>
      </c>
      <c r="F23" s="77" t="s">
        <v>689</v>
      </c>
      <c r="G23" s="77">
        <v>268326</v>
      </c>
      <c r="H23" s="446">
        <v>93020810</v>
      </c>
      <c r="J23" s="447"/>
      <c r="K23" s="447"/>
    </row>
    <row r="24" spans="1:11" ht="16.5" customHeight="1">
      <c r="A24" s="173" t="s">
        <v>71</v>
      </c>
      <c r="B24" s="448">
        <v>10088372</v>
      </c>
      <c r="C24" s="448">
        <v>10887078</v>
      </c>
      <c r="D24" s="444">
        <f t="shared" si="0"/>
        <v>798706</v>
      </c>
      <c r="E24" s="449">
        <f t="shared" si="1"/>
        <v>7.9170950476449523E-2</v>
      </c>
      <c r="F24" s="77" t="s">
        <v>690</v>
      </c>
      <c r="G24" s="77">
        <v>9838849</v>
      </c>
      <c r="H24" s="446">
        <v>9669040</v>
      </c>
      <c r="J24" s="447"/>
      <c r="K24" s="447"/>
    </row>
    <row r="25" spans="1:11" ht="16.5" customHeight="1">
      <c r="A25" s="173" t="s">
        <v>72</v>
      </c>
      <c r="B25" s="448">
        <v>706099</v>
      </c>
      <c r="C25" s="448">
        <v>828548</v>
      </c>
      <c r="D25" s="444">
        <f t="shared" si="0"/>
        <v>122449</v>
      </c>
      <c r="E25" s="449">
        <f t="shared" si="1"/>
        <v>0.17341619234696551</v>
      </c>
      <c r="F25" s="77" t="s">
        <v>691</v>
      </c>
      <c r="G25" s="77">
        <v>753297</v>
      </c>
      <c r="H25" s="446">
        <v>12114390</v>
      </c>
      <c r="J25" s="447"/>
      <c r="K25" s="447"/>
    </row>
    <row r="26" spans="1:11" ht="16.5" customHeight="1">
      <c r="A26" s="450" t="s">
        <v>73</v>
      </c>
      <c r="B26" s="448">
        <v>823074</v>
      </c>
      <c r="C26" s="448">
        <v>967170</v>
      </c>
      <c r="D26" s="444">
        <f t="shared" si="0"/>
        <v>144096</v>
      </c>
      <c r="E26" s="449">
        <f t="shared" si="1"/>
        <v>0.17507052828785746</v>
      </c>
      <c r="F26" s="77" t="s">
        <v>692</v>
      </c>
      <c r="G26" s="77">
        <v>659233</v>
      </c>
      <c r="H26" s="446">
        <v>68046900</v>
      </c>
      <c r="J26" s="447"/>
      <c r="K26" s="447"/>
    </row>
    <row r="27" spans="1:11" ht="16.5" customHeight="1">
      <c r="A27" s="173" t="s">
        <v>483</v>
      </c>
      <c r="B27" s="448">
        <v>416781</v>
      </c>
      <c r="C27" s="448">
        <v>433968</v>
      </c>
      <c r="D27" s="444">
        <f t="shared" si="0"/>
        <v>17187</v>
      </c>
      <c r="E27" s="449">
        <f t="shared" si="1"/>
        <v>4.1237484434271235E-2</v>
      </c>
      <c r="F27" s="77" t="s">
        <v>693</v>
      </c>
      <c r="G27" s="77">
        <v>226551</v>
      </c>
      <c r="H27" s="446"/>
      <c r="J27" s="447"/>
      <c r="K27" s="447"/>
    </row>
    <row r="28" spans="1:11" ht="16.5" customHeight="1">
      <c r="A28" s="173" t="s">
        <v>401</v>
      </c>
      <c r="B28" s="448">
        <v>415060</v>
      </c>
      <c r="C28" s="448">
        <v>414134</v>
      </c>
      <c r="D28" s="444">
        <f t="shared" si="0"/>
        <v>-926</v>
      </c>
      <c r="E28" s="449">
        <f t="shared" si="1"/>
        <v>-2.2310027465908544E-3</v>
      </c>
      <c r="F28" s="77" t="s">
        <v>694</v>
      </c>
      <c r="G28" s="77">
        <v>7286551</v>
      </c>
      <c r="H28" s="446">
        <v>18988500</v>
      </c>
      <c r="J28" s="447"/>
      <c r="K28" s="447"/>
    </row>
    <row r="29" spans="1:11" ht="16.5" customHeight="1">
      <c r="A29" s="173" t="s">
        <v>76</v>
      </c>
      <c r="B29" s="448">
        <v>8054540</v>
      </c>
      <c r="C29" s="448">
        <v>8418329</v>
      </c>
      <c r="D29" s="444">
        <f t="shared" si="0"/>
        <v>363789</v>
      </c>
      <c r="E29" s="449">
        <f t="shared" si="1"/>
        <v>4.516570778716103E-2</v>
      </c>
      <c r="F29" s="77" t="s">
        <v>695</v>
      </c>
      <c r="G29" s="77">
        <v>1335012</v>
      </c>
      <c r="H29" s="446">
        <v>211750</v>
      </c>
      <c r="J29" s="447"/>
      <c r="K29" s="447"/>
    </row>
    <row r="30" spans="1:11" ht="16.5" customHeight="1">
      <c r="A30" s="173" t="s">
        <v>77</v>
      </c>
      <c r="B30" s="448">
        <v>733427</v>
      </c>
      <c r="C30" s="448">
        <v>841540</v>
      </c>
      <c r="D30" s="444">
        <f t="shared" si="0"/>
        <v>108113</v>
      </c>
      <c r="E30" s="449">
        <f t="shared" si="1"/>
        <v>0.14740799016125666</v>
      </c>
      <c r="F30" s="77" t="s">
        <v>696</v>
      </c>
      <c r="G30" s="77">
        <v>1402369</v>
      </c>
      <c r="H30" s="446"/>
      <c r="J30" s="447"/>
      <c r="K30" s="447"/>
    </row>
    <row r="31" spans="1:11" ht="16.5" customHeight="1">
      <c r="A31" s="173" t="s">
        <v>78</v>
      </c>
      <c r="B31" s="448">
        <v>1341644</v>
      </c>
      <c r="C31" s="448">
        <v>1365142</v>
      </c>
      <c r="D31" s="444">
        <f t="shared" si="0"/>
        <v>23498</v>
      </c>
      <c r="E31" s="449">
        <f t="shared" si="1"/>
        <v>1.7514333161404962E-2</v>
      </c>
      <c r="F31" s="77" t="s">
        <v>697</v>
      </c>
      <c r="G31" s="77">
        <v>731169</v>
      </c>
      <c r="H31" s="446"/>
      <c r="J31" s="447"/>
      <c r="K31" s="447"/>
    </row>
    <row r="32" spans="1:11" ht="16.5" customHeight="1">
      <c r="A32" s="173" t="s">
        <v>79</v>
      </c>
      <c r="B32" s="448">
        <v>832828</v>
      </c>
      <c r="C32" s="448">
        <v>858972</v>
      </c>
      <c r="D32" s="444">
        <f t="shared" si="0"/>
        <v>26144</v>
      </c>
      <c r="E32" s="449">
        <f t="shared" si="1"/>
        <v>3.1391836009356071E-2</v>
      </c>
      <c r="F32" s="77" t="s">
        <v>698</v>
      </c>
      <c r="G32" s="77">
        <v>622845</v>
      </c>
      <c r="H32" s="446"/>
      <c r="J32" s="447"/>
      <c r="K32" s="447"/>
    </row>
    <row r="33" spans="1:13" ht="16.5" customHeight="1">
      <c r="A33" s="173" t="s">
        <v>402</v>
      </c>
      <c r="B33" s="448">
        <v>489355</v>
      </c>
      <c r="C33" s="448">
        <v>490320</v>
      </c>
      <c r="D33" s="444">
        <f t="shared" si="0"/>
        <v>965</v>
      </c>
      <c r="E33" s="449">
        <f t="shared" si="1"/>
        <v>1.9719835293396408E-3</v>
      </c>
      <c r="F33" s="77" t="s">
        <v>699</v>
      </c>
      <c r="G33" s="77">
        <v>516461</v>
      </c>
      <c r="H33" s="446"/>
      <c r="J33" s="447"/>
      <c r="K33" s="447"/>
    </row>
    <row r="34" spans="1:13" ht="16.5" customHeight="1">
      <c r="A34" s="173" t="s">
        <v>81</v>
      </c>
      <c r="B34" s="448">
        <v>520789</v>
      </c>
      <c r="C34" s="448">
        <v>570498</v>
      </c>
      <c r="D34" s="444">
        <f t="shared" si="0"/>
        <v>49709</v>
      </c>
      <c r="E34" s="449">
        <f t="shared" si="1"/>
        <v>9.5449404653324091E-2</v>
      </c>
      <c r="F34" s="77" t="s">
        <v>700</v>
      </c>
      <c r="G34" s="77">
        <v>102993</v>
      </c>
      <c r="H34" s="446"/>
      <c r="J34" s="447"/>
      <c r="K34" s="447"/>
    </row>
    <row r="35" spans="1:13" ht="16.5" customHeight="1">
      <c r="A35" s="173" t="s">
        <v>82</v>
      </c>
      <c r="B35" s="448">
        <v>109247</v>
      </c>
      <c r="C35" s="448">
        <v>209272</v>
      </c>
      <c r="D35" s="444">
        <f t="shared" si="0"/>
        <v>100025</v>
      </c>
      <c r="E35" s="449">
        <f t="shared" si="1"/>
        <v>0.91558578267595447</v>
      </c>
      <c r="F35" s="77" t="s">
        <v>701</v>
      </c>
      <c r="G35" s="77">
        <v>597230</v>
      </c>
      <c r="H35" s="446">
        <v>10380310</v>
      </c>
      <c r="J35" s="447"/>
      <c r="K35" s="447"/>
    </row>
    <row r="36" spans="1:13" ht="16.5" customHeight="1">
      <c r="A36" s="173" t="s">
        <v>83</v>
      </c>
      <c r="B36" s="448">
        <v>576653</v>
      </c>
      <c r="C36" s="448">
        <v>531122</v>
      </c>
      <c r="D36" s="444">
        <f t="shared" si="0"/>
        <v>-45531</v>
      </c>
      <c r="E36" s="449">
        <f t="shared" si="1"/>
        <v>-7.8957362573332662E-2</v>
      </c>
      <c r="F36" s="77" t="s">
        <v>702</v>
      </c>
      <c r="G36" s="77">
        <v>147640</v>
      </c>
      <c r="H36" s="446">
        <v>9330080</v>
      </c>
      <c r="J36" s="447"/>
      <c r="K36" s="447"/>
    </row>
    <row r="37" spans="1:13" ht="16.5" customHeight="1">
      <c r="A37" s="173" t="s">
        <v>84</v>
      </c>
      <c r="B37" s="448">
        <v>188235</v>
      </c>
      <c r="C37" s="448">
        <v>202540</v>
      </c>
      <c r="D37" s="444">
        <f t="shared" si="0"/>
        <v>14305</v>
      </c>
      <c r="E37" s="449">
        <f t="shared" si="1"/>
        <v>7.5995431242861317E-2</v>
      </c>
      <c r="F37" s="80" t="s">
        <v>705</v>
      </c>
      <c r="G37" s="80">
        <v>257508</v>
      </c>
      <c r="H37" s="446">
        <v>5880320</v>
      </c>
      <c r="J37" s="447"/>
      <c r="K37" s="447"/>
    </row>
    <row r="38" spans="1:13" ht="17.25" customHeight="1">
      <c r="A38" s="173" t="s">
        <v>85</v>
      </c>
      <c r="B38" s="448">
        <v>293257</v>
      </c>
      <c r="C38" s="448">
        <v>282085</v>
      </c>
      <c r="D38" s="444">
        <f t="shared" si="0"/>
        <v>-11172</v>
      </c>
      <c r="E38" s="449">
        <f t="shared" si="1"/>
        <v>-3.8096277326713432E-2</v>
      </c>
      <c r="F38" s="77" t="s">
        <v>703</v>
      </c>
      <c r="G38" s="77">
        <v>1239740</v>
      </c>
      <c r="H38" s="80"/>
      <c r="J38" s="447"/>
      <c r="K38" s="447"/>
    </row>
    <row r="39" spans="1:13" ht="15" customHeight="1">
      <c r="A39" s="450" t="s">
        <v>87</v>
      </c>
      <c r="B39" s="448">
        <v>1347828</v>
      </c>
      <c r="C39" s="448">
        <v>1540645</v>
      </c>
      <c r="D39" s="444">
        <f t="shared" si="0"/>
        <v>192817</v>
      </c>
      <c r="E39" s="449">
        <f t="shared" si="1"/>
        <v>0.14305757114409257</v>
      </c>
      <c r="F39" s="80" t="s">
        <v>704</v>
      </c>
      <c r="G39" s="80">
        <v>432009</v>
      </c>
      <c r="H39" s="80"/>
      <c r="J39" s="447"/>
      <c r="K39" s="447"/>
    </row>
    <row r="40" spans="1:13" ht="15" customHeight="1">
      <c r="A40" s="450" t="s">
        <v>88</v>
      </c>
      <c r="B40" s="448">
        <v>245098</v>
      </c>
      <c r="C40" s="448">
        <v>280909</v>
      </c>
      <c r="D40" s="444">
        <f t="shared" si="0"/>
        <v>35811</v>
      </c>
      <c r="E40" s="449">
        <f t="shared" si="1"/>
        <v>0.14610890337742455</v>
      </c>
      <c r="F40" s="80" t="s">
        <v>706</v>
      </c>
      <c r="G40" s="80">
        <v>26587</v>
      </c>
      <c r="H40" s="80"/>
      <c r="J40" s="447"/>
      <c r="K40" s="447"/>
    </row>
    <row r="41" spans="1:13" ht="15" customHeight="1" thickBot="1">
      <c r="A41" s="450" t="s">
        <v>683</v>
      </c>
      <c r="B41" s="448">
        <v>385915</v>
      </c>
      <c r="C41" s="448">
        <v>383526</v>
      </c>
      <c r="D41" s="444">
        <f t="shared" si="0"/>
        <v>-2389</v>
      </c>
      <c r="E41" s="449">
        <f t="shared" si="1"/>
        <v>-6.1904823601052041E-3</v>
      </c>
      <c r="F41" s="80" t="s">
        <v>707</v>
      </c>
      <c r="G41" s="80">
        <v>912</v>
      </c>
      <c r="H41" s="80"/>
      <c r="J41" s="447"/>
      <c r="K41" s="447"/>
    </row>
    <row r="42" spans="1:13" ht="19.5" thickBot="1">
      <c r="A42" s="190" t="s">
        <v>49</v>
      </c>
      <c r="B42" s="451">
        <f>SUM(B21:B41)</f>
        <v>29665857</v>
      </c>
      <c r="C42" s="451">
        <f>SUM(C21:C41)</f>
        <v>31784127</v>
      </c>
      <c r="D42" s="452">
        <f t="shared" si="0"/>
        <v>2118270</v>
      </c>
      <c r="E42" s="453">
        <f t="shared" si="1"/>
        <v>7.14043083265722E-2</v>
      </c>
      <c r="H42" s="80"/>
      <c r="I42" s="454" t="s">
        <v>708</v>
      </c>
      <c r="J42" s="447"/>
      <c r="K42" s="447"/>
      <c r="M42" s="455"/>
    </row>
    <row r="43" spans="1:13">
      <c r="A43" s="3026" t="s">
        <v>684</v>
      </c>
      <c r="B43" s="3026"/>
      <c r="C43" s="3026"/>
      <c r="D43" s="3026"/>
      <c r="E43" s="3026"/>
      <c r="H43" s="454"/>
      <c r="I43" s="454"/>
      <c r="J43" s="456"/>
      <c r="K43" s="456"/>
      <c r="M43" s="455"/>
    </row>
    <row r="44" spans="1:13">
      <c r="A44" s="3021" t="s">
        <v>685</v>
      </c>
      <c r="B44" s="3021"/>
      <c r="C44" s="3021"/>
      <c r="D44" s="3021"/>
      <c r="E44" s="3021"/>
      <c r="H44" s="454"/>
      <c r="I44" s="454"/>
      <c r="M44" s="455"/>
    </row>
  </sheetData>
  <mergeCells count="7">
    <mergeCell ref="A44:E44"/>
    <mergeCell ref="A18:E18"/>
    <mergeCell ref="A19:A20"/>
    <mergeCell ref="B19:C19"/>
    <mergeCell ref="D19:D20"/>
    <mergeCell ref="E19:E20"/>
    <mergeCell ref="A43:E43"/>
  </mergeCells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95" firstPageNumber="121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  <pageSetUpPr fitToPage="1"/>
  </sheetPr>
  <dimension ref="A1:AQ18"/>
  <sheetViews>
    <sheetView rightToLeft="1" zoomScale="60" zoomScaleNormal="60" zoomScaleSheetLayoutView="70" workbookViewId="0">
      <selection sqref="A1:W17"/>
    </sheetView>
  </sheetViews>
  <sheetFormatPr defaultColWidth="10.375" defaultRowHeight="54" customHeight="1"/>
  <cols>
    <col min="1" max="1" width="11.875" style="77" customWidth="1"/>
    <col min="2" max="2" width="9.625" style="77" customWidth="1"/>
    <col min="3" max="4" width="9.125" style="77" customWidth="1"/>
    <col min="5" max="5" width="11.125" style="77" customWidth="1"/>
    <col min="6" max="6" width="9.375" style="77" customWidth="1"/>
    <col min="7" max="7" width="9.625" style="77" customWidth="1"/>
    <col min="8" max="8" width="10" style="77" customWidth="1"/>
    <col min="9" max="9" width="11.125" style="77" customWidth="1"/>
    <col min="10" max="10" width="11" style="77" customWidth="1"/>
    <col min="11" max="11" width="9.375" style="77" customWidth="1"/>
    <col min="12" max="13" width="9.875" style="77" customWidth="1"/>
    <col min="14" max="14" width="9.625" style="77" customWidth="1"/>
    <col min="15" max="15" width="9.875" style="77" customWidth="1"/>
    <col min="16" max="16" width="10.625" style="77" customWidth="1"/>
    <col min="17" max="17" width="10.125" style="77" customWidth="1"/>
    <col min="18" max="18" width="9.875" style="77" customWidth="1"/>
    <col min="19" max="21" width="9.625" style="77" customWidth="1"/>
    <col min="22" max="22" width="9.375" style="77" customWidth="1"/>
    <col min="23" max="23" width="13.75" style="77" bestFit="1" customWidth="1"/>
    <col min="24" max="43" width="0" style="77" hidden="1" customWidth="1"/>
    <col min="44" max="16384" width="10.375" style="77"/>
  </cols>
  <sheetData>
    <row r="1" spans="1:43" ht="30.75" customHeight="1">
      <c r="A1" s="3027" t="s">
        <v>710</v>
      </c>
      <c r="B1" s="3027"/>
      <c r="C1" s="3027"/>
      <c r="D1" s="3027"/>
      <c r="E1" s="3027"/>
      <c r="F1" s="3027"/>
      <c r="G1" s="3027"/>
      <c r="H1" s="3027"/>
      <c r="I1" s="3027"/>
      <c r="J1" s="3027"/>
      <c r="K1" s="3027"/>
      <c r="L1" s="3027"/>
      <c r="M1" s="3027"/>
      <c r="N1" s="3027"/>
      <c r="O1" s="3027"/>
      <c r="P1" s="3027"/>
      <c r="Q1" s="3027"/>
      <c r="R1" s="3027"/>
      <c r="S1" s="3027"/>
      <c r="T1" s="3027"/>
      <c r="U1" s="3027"/>
      <c r="V1" s="3027"/>
      <c r="W1" s="302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</row>
    <row r="2" spans="1:43" ht="15" customHeight="1" thickBot="1">
      <c r="A2" s="3028" t="s">
        <v>306</v>
      </c>
      <c r="B2" s="3028"/>
      <c r="C2" s="3028"/>
      <c r="D2" s="3028"/>
      <c r="E2" s="3028"/>
      <c r="F2" s="3028"/>
      <c r="G2" s="3028"/>
      <c r="H2" s="3028"/>
      <c r="I2" s="3028"/>
      <c r="J2" s="3028"/>
      <c r="K2" s="3028"/>
      <c r="L2" s="3028"/>
      <c r="M2" s="3028"/>
      <c r="N2" s="3028"/>
      <c r="O2" s="3028"/>
      <c r="P2" s="3028"/>
      <c r="Q2" s="3028"/>
      <c r="R2" s="3028"/>
      <c r="S2" s="3028"/>
      <c r="T2" s="3028"/>
      <c r="U2" s="3028"/>
      <c r="V2" s="3028"/>
      <c r="W2" s="3029"/>
    </row>
    <row r="3" spans="1:43" ht="87.75" customHeight="1" thickBot="1">
      <c r="A3" s="427" t="s">
        <v>1</v>
      </c>
      <c r="B3" s="428" t="s">
        <v>68</v>
      </c>
      <c r="C3" s="429" t="s">
        <v>69</v>
      </c>
      <c r="D3" s="429" t="s">
        <v>70</v>
      </c>
      <c r="E3" s="429" t="s">
        <v>71</v>
      </c>
      <c r="F3" s="429" t="s">
        <v>72</v>
      </c>
      <c r="G3" s="429" t="s">
        <v>73</v>
      </c>
      <c r="H3" s="429" t="s">
        <v>483</v>
      </c>
      <c r="I3" s="429" t="s">
        <v>401</v>
      </c>
      <c r="J3" s="429" t="s">
        <v>76</v>
      </c>
      <c r="K3" s="429" t="s">
        <v>77</v>
      </c>
      <c r="L3" s="429" t="s">
        <v>78</v>
      </c>
      <c r="M3" s="429" t="s">
        <v>79</v>
      </c>
      <c r="N3" s="429" t="s">
        <v>402</v>
      </c>
      <c r="O3" s="429" t="s">
        <v>81</v>
      </c>
      <c r="P3" s="429" t="s">
        <v>82</v>
      </c>
      <c r="Q3" s="429" t="s">
        <v>83</v>
      </c>
      <c r="R3" s="429" t="s">
        <v>84</v>
      </c>
      <c r="S3" s="429" t="s">
        <v>85</v>
      </c>
      <c r="T3" s="431" t="s">
        <v>87</v>
      </c>
      <c r="U3" s="429" t="s">
        <v>88</v>
      </c>
      <c r="V3" s="429" t="s">
        <v>683</v>
      </c>
      <c r="W3" s="427" t="s">
        <v>49</v>
      </c>
    </row>
    <row r="4" spans="1:43" ht="30.75" customHeight="1">
      <c r="A4" s="432" t="s">
        <v>37</v>
      </c>
      <c r="B4" s="458">
        <v>51540.317999999999</v>
      </c>
      <c r="C4" s="458">
        <v>4999.6540000000005</v>
      </c>
      <c r="D4" s="458">
        <v>22184.081999999999</v>
      </c>
      <c r="E4" s="458">
        <v>368756.299</v>
      </c>
      <c r="F4" s="458">
        <v>15409.800999999999</v>
      </c>
      <c r="G4" s="458">
        <v>28122.510999999999</v>
      </c>
      <c r="H4" s="458">
        <v>13385.125</v>
      </c>
      <c r="I4" s="458">
        <v>6145.06</v>
      </c>
      <c r="J4" s="458">
        <v>480775.25400000002</v>
      </c>
      <c r="K4" s="458">
        <v>26942.233</v>
      </c>
      <c r="L4" s="458">
        <v>61090.137999999999</v>
      </c>
      <c r="M4" s="458">
        <v>49531.572</v>
      </c>
      <c r="N4" s="458">
        <v>25875.103999999999</v>
      </c>
      <c r="O4" s="458">
        <v>32442.752</v>
      </c>
      <c r="P4" s="458">
        <v>13869.239</v>
      </c>
      <c r="Q4" s="458">
        <v>54392.249000000003</v>
      </c>
      <c r="R4" s="458">
        <v>7922.5209999999997</v>
      </c>
      <c r="S4" s="458">
        <v>27673.156999999999</v>
      </c>
      <c r="T4" s="458">
        <v>39903.798999999999</v>
      </c>
      <c r="U4" s="458">
        <v>12200.188</v>
      </c>
      <c r="V4" s="458">
        <v>6138.1329999999998</v>
      </c>
      <c r="W4" s="459">
        <v>1349299.1890000002</v>
      </c>
      <c r="X4" s="77">
        <v>1324532.3290000004</v>
      </c>
      <c r="AQ4" s="79">
        <v>-24766.85999999987</v>
      </c>
    </row>
    <row r="5" spans="1:43" ht="30.75" customHeight="1">
      <c r="A5" s="436" t="s">
        <v>38</v>
      </c>
      <c r="B5" s="458">
        <v>48804.739000000001</v>
      </c>
      <c r="C5" s="458">
        <v>4866.0559999999996</v>
      </c>
      <c r="D5" s="458">
        <v>25344.687000000002</v>
      </c>
      <c r="E5" s="458">
        <v>416915.326</v>
      </c>
      <c r="F5" s="458">
        <v>18107.983</v>
      </c>
      <c r="G5" s="458">
        <v>35701.169000000002</v>
      </c>
      <c r="H5" s="458">
        <v>18029.938999999998</v>
      </c>
      <c r="I5" s="458">
        <v>7876.027</v>
      </c>
      <c r="J5" s="458">
        <v>527095.81700000004</v>
      </c>
      <c r="K5" s="458">
        <v>28403.837</v>
      </c>
      <c r="L5" s="458">
        <v>64913.953000000001</v>
      </c>
      <c r="M5" s="458">
        <v>52962.504000000001</v>
      </c>
      <c r="N5" s="458">
        <v>25210.724999999999</v>
      </c>
      <c r="O5" s="458">
        <v>35061.197</v>
      </c>
      <c r="P5" s="458">
        <v>14674.696</v>
      </c>
      <c r="Q5" s="458">
        <v>51426.021000000001</v>
      </c>
      <c r="R5" s="458">
        <v>8933.1479999999992</v>
      </c>
      <c r="S5" s="458">
        <v>26494.438999999998</v>
      </c>
      <c r="T5" s="458">
        <v>53705.819000000003</v>
      </c>
      <c r="U5" s="458">
        <v>13033.611999999999</v>
      </c>
      <c r="V5" s="458">
        <v>6670.8</v>
      </c>
      <c r="W5" s="459">
        <v>1484232.4940000002</v>
      </c>
      <c r="X5" s="77">
        <v>1137956.3240000005</v>
      </c>
      <c r="AQ5" s="79">
        <v>-346276.16999999969</v>
      </c>
    </row>
    <row r="6" spans="1:43" ht="30.75" customHeight="1">
      <c r="A6" s="436" t="s">
        <v>39</v>
      </c>
      <c r="B6" s="458">
        <v>45956.695</v>
      </c>
      <c r="C6" s="458">
        <v>4946.6310000000003</v>
      </c>
      <c r="D6" s="458">
        <v>27376.627</v>
      </c>
      <c r="E6" s="458">
        <v>410338.54</v>
      </c>
      <c r="F6" s="458">
        <v>18893.579000000002</v>
      </c>
      <c r="G6" s="458">
        <v>40055.656000000003</v>
      </c>
      <c r="H6" s="458">
        <v>16495.911</v>
      </c>
      <c r="I6" s="458">
        <v>6374.31</v>
      </c>
      <c r="J6" s="458">
        <v>514654.005</v>
      </c>
      <c r="K6" s="458">
        <v>27688.197</v>
      </c>
      <c r="L6" s="458">
        <v>59371.237000000001</v>
      </c>
      <c r="M6" s="458">
        <v>54610.538</v>
      </c>
      <c r="N6" s="458">
        <v>24815.45</v>
      </c>
      <c r="O6" s="458">
        <v>34685.898000000001</v>
      </c>
      <c r="P6" s="458">
        <v>15444.42</v>
      </c>
      <c r="Q6" s="458">
        <v>52678.499000000003</v>
      </c>
      <c r="R6" s="458">
        <v>9193.5969999999998</v>
      </c>
      <c r="S6" s="458">
        <v>27782.111000000001</v>
      </c>
      <c r="T6" s="458">
        <v>55196.962</v>
      </c>
      <c r="U6" s="458">
        <v>12990.805</v>
      </c>
      <c r="V6" s="458">
        <v>6608.4210000000003</v>
      </c>
      <c r="W6" s="459">
        <v>1466158.0889999999</v>
      </c>
      <c r="X6" s="77">
        <v>996426.69100000034</v>
      </c>
      <c r="AQ6" s="79">
        <v>-469731.39799999958</v>
      </c>
    </row>
    <row r="7" spans="1:43" ht="30.75" customHeight="1">
      <c r="A7" s="436" t="s">
        <v>40</v>
      </c>
      <c r="B7" s="458">
        <v>46750.233999999997</v>
      </c>
      <c r="C7" s="458">
        <v>4782.2489999999998</v>
      </c>
      <c r="D7" s="458">
        <v>25871.914000000001</v>
      </c>
      <c r="E7" s="458">
        <v>376566.71799999999</v>
      </c>
      <c r="F7" s="458">
        <v>16153.348</v>
      </c>
      <c r="G7" s="458">
        <v>28299.824000000001</v>
      </c>
      <c r="H7" s="458">
        <v>15390.246999999999</v>
      </c>
      <c r="I7" s="458">
        <v>5326.0379999999996</v>
      </c>
      <c r="J7" s="458">
        <v>503620.74599999998</v>
      </c>
      <c r="K7" s="458">
        <v>31082.821</v>
      </c>
      <c r="L7" s="458">
        <v>62716.587</v>
      </c>
      <c r="M7" s="458">
        <v>52896.383000000002</v>
      </c>
      <c r="N7" s="458">
        <v>19935.953000000001</v>
      </c>
      <c r="O7" s="458">
        <v>31479.364000000001</v>
      </c>
      <c r="P7" s="458">
        <v>18397.615000000002</v>
      </c>
      <c r="Q7" s="458">
        <v>46543.616999999998</v>
      </c>
      <c r="R7" s="458">
        <v>9717.0049999999992</v>
      </c>
      <c r="S7" s="458">
        <v>20887.062999999998</v>
      </c>
      <c r="T7" s="458">
        <v>53659.207999999999</v>
      </c>
      <c r="U7" s="458">
        <v>13320.945</v>
      </c>
      <c r="V7" s="458">
        <v>6380.482</v>
      </c>
      <c r="W7" s="459">
        <v>1389778.3610000003</v>
      </c>
      <c r="X7" s="77">
        <v>1382822.4299999997</v>
      </c>
      <c r="AQ7" s="79">
        <v>-6955.9310000005644</v>
      </c>
    </row>
    <row r="8" spans="1:43" ht="30.75" customHeight="1">
      <c r="A8" s="436" t="s">
        <v>41</v>
      </c>
      <c r="B8" s="458">
        <v>54935.464999999997</v>
      </c>
      <c r="C8" s="458">
        <v>5389.23</v>
      </c>
      <c r="D8" s="458">
        <v>25805.228999999999</v>
      </c>
      <c r="E8" s="458">
        <v>373022.60399999999</v>
      </c>
      <c r="F8" s="458">
        <v>15481.76</v>
      </c>
      <c r="G8" s="458">
        <v>28919.688999999998</v>
      </c>
      <c r="H8" s="458">
        <v>15396.528</v>
      </c>
      <c r="I8" s="458">
        <v>5423.0330000000004</v>
      </c>
      <c r="J8" s="458">
        <v>495487.48</v>
      </c>
      <c r="K8" s="458">
        <v>32356.11</v>
      </c>
      <c r="L8" s="458">
        <v>59433.29</v>
      </c>
      <c r="M8" s="458">
        <v>53092.04</v>
      </c>
      <c r="N8" s="458">
        <v>20112.732</v>
      </c>
      <c r="O8" s="458">
        <v>32370.422999999999</v>
      </c>
      <c r="P8" s="458">
        <v>19494.21</v>
      </c>
      <c r="Q8" s="458">
        <v>46081.671000000002</v>
      </c>
      <c r="R8" s="458">
        <v>9258.86</v>
      </c>
      <c r="S8" s="458">
        <v>19193.839</v>
      </c>
      <c r="T8" s="458">
        <v>48303.419000000002</v>
      </c>
      <c r="U8" s="458">
        <v>13412.276</v>
      </c>
      <c r="V8" s="458">
        <v>5984.5770000000002</v>
      </c>
      <c r="W8" s="459">
        <v>1378954.4650000003</v>
      </c>
      <c r="X8" s="77">
        <v>1541207.6139999989</v>
      </c>
      <c r="AQ8" s="79">
        <v>162253.14899999858</v>
      </c>
    </row>
    <row r="9" spans="1:43" ht="30.75" customHeight="1">
      <c r="A9" s="436" t="s">
        <v>42</v>
      </c>
      <c r="B9" s="458">
        <v>97236.843999999997</v>
      </c>
      <c r="C9" s="458">
        <v>5233.5119999999997</v>
      </c>
      <c r="D9" s="458">
        <v>29829.678</v>
      </c>
      <c r="E9" s="458">
        <v>422423.65600000002</v>
      </c>
      <c r="F9" s="458">
        <v>16838.462</v>
      </c>
      <c r="G9" s="458">
        <v>33209.279999999999</v>
      </c>
      <c r="H9" s="458">
        <v>16414.601999999999</v>
      </c>
      <c r="I9" s="458">
        <v>6586.7619999999997</v>
      </c>
      <c r="J9" s="458">
        <v>495905.39199999999</v>
      </c>
      <c r="K9" s="458">
        <v>33180.620000000003</v>
      </c>
      <c r="L9" s="458">
        <v>52050.697</v>
      </c>
      <c r="M9" s="458">
        <v>48613.72</v>
      </c>
      <c r="N9" s="458">
        <v>20105.601999999999</v>
      </c>
      <c r="O9" s="458">
        <v>35572.739000000001</v>
      </c>
      <c r="P9" s="458">
        <v>21320.904999999999</v>
      </c>
      <c r="Q9" s="458">
        <v>38482.074000000001</v>
      </c>
      <c r="R9" s="458">
        <v>9296.43</v>
      </c>
      <c r="S9" s="458">
        <v>20795.14</v>
      </c>
      <c r="T9" s="458">
        <v>51602.214999999997</v>
      </c>
      <c r="U9" s="458">
        <v>13480.763999999999</v>
      </c>
      <c r="V9" s="458">
        <v>6839.1729999999998</v>
      </c>
      <c r="W9" s="459">
        <v>1475018.267</v>
      </c>
      <c r="X9" s="77">
        <v>1532814.1820000005</v>
      </c>
      <c r="AQ9" s="79">
        <v>57795.915000000503</v>
      </c>
    </row>
    <row r="10" spans="1:43" ht="30.75" customHeight="1">
      <c r="A10" s="436" t="s">
        <v>43</v>
      </c>
      <c r="B10" s="458">
        <v>58058.120999999999</v>
      </c>
      <c r="C10" s="458">
        <v>5371.076</v>
      </c>
      <c r="D10" s="458">
        <v>25358.166000000001</v>
      </c>
      <c r="E10" s="458">
        <v>373155.44699999999</v>
      </c>
      <c r="F10" s="458">
        <v>15187.233</v>
      </c>
      <c r="G10" s="458">
        <v>28783.022000000001</v>
      </c>
      <c r="H10" s="458">
        <v>15485.395</v>
      </c>
      <c r="I10" s="458">
        <v>4858.1629999999996</v>
      </c>
      <c r="J10" s="458">
        <v>508078.05900000001</v>
      </c>
      <c r="K10" s="458">
        <v>33138.555</v>
      </c>
      <c r="L10" s="458">
        <v>58586.794000000002</v>
      </c>
      <c r="M10" s="458">
        <v>53047.885999999999</v>
      </c>
      <c r="N10" s="458">
        <v>23121.666000000001</v>
      </c>
      <c r="O10" s="458">
        <v>32142.367999999999</v>
      </c>
      <c r="P10" s="458">
        <v>16971.447</v>
      </c>
      <c r="Q10" s="458">
        <v>42270.502</v>
      </c>
      <c r="R10" s="458">
        <v>8382.0609999999997</v>
      </c>
      <c r="S10" s="458">
        <v>21238.313999999998</v>
      </c>
      <c r="T10" s="458">
        <v>58047.385999999999</v>
      </c>
      <c r="U10" s="458">
        <v>13345.353999999999</v>
      </c>
      <c r="V10" s="458">
        <v>6433.607</v>
      </c>
      <c r="W10" s="459">
        <v>1401060.622</v>
      </c>
      <c r="X10" s="77">
        <v>1210190.9749999996</v>
      </c>
      <c r="AQ10" s="79">
        <v>-190869.64700000035</v>
      </c>
    </row>
    <row r="11" spans="1:43" ht="30.75" customHeight="1">
      <c r="A11" s="436" t="s">
        <v>405</v>
      </c>
      <c r="B11" s="458">
        <v>55887.866000000002</v>
      </c>
      <c r="C11" s="458">
        <v>5177.1670000000004</v>
      </c>
      <c r="D11" s="458">
        <v>25228.121999999999</v>
      </c>
      <c r="E11" s="458">
        <v>366007.82799999998</v>
      </c>
      <c r="F11" s="458">
        <v>16848.71</v>
      </c>
      <c r="G11" s="458">
        <v>35049.300000000003</v>
      </c>
      <c r="H11" s="458">
        <v>16433.600999999999</v>
      </c>
      <c r="I11" s="458">
        <v>5433.6760000000004</v>
      </c>
      <c r="J11" s="458">
        <v>492727.78200000001</v>
      </c>
      <c r="K11" s="458">
        <v>32297.143</v>
      </c>
      <c r="L11" s="458">
        <v>59748.021000000001</v>
      </c>
      <c r="M11" s="458">
        <v>50080.766000000003</v>
      </c>
      <c r="N11" s="458">
        <v>22485.235000000001</v>
      </c>
      <c r="O11" s="458">
        <v>30849.838</v>
      </c>
      <c r="P11" s="458">
        <v>16411.062999999998</v>
      </c>
      <c r="Q11" s="458">
        <v>41807.402999999998</v>
      </c>
      <c r="R11" s="458">
        <v>8155.1589999999997</v>
      </c>
      <c r="S11" s="458">
        <v>20947.764999999999</v>
      </c>
      <c r="T11" s="458">
        <v>56810.375999999997</v>
      </c>
      <c r="U11" s="458">
        <v>13762.308999999999</v>
      </c>
      <c r="V11" s="458">
        <v>6743.366</v>
      </c>
      <c r="W11" s="459">
        <v>1378892.4959999998</v>
      </c>
      <c r="X11" s="77">
        <v>1293529.3680000005</v>
      </c>
      <c r="AQ11" s="79">
        <v>-85363.127999999328</v>
      </c>
    </row>
    <row r="12" spans="1:43" ht="30.75" customHeight="1">
      <c r="A12" s="436" t="s">
        <v>45</v>
      </c>
      <c r="B12" s="458">
        <v>55948.917999999998</v>
      </c>
      <c r="C12" s="458">
        <v>5225.3919999999998</v>
      </c>
      <c r="D12" s="458">
        <v>25995.49</v>
      </c>
      <c r="E12" s="458">
        <v>374333.87599999999</v>
      </c>
      <c r="F12" s="458">
        <v>15908.798000000001</v>
      </c>
      <c r="G12" s="458">
        <v>33531.004000000001</v>
      </c>
      <c r="H12" s="458">
        <v>16129.326999999999</v>
      </c>
      <c r="I12" s="458">
        <v>5319.9</v>
      </c>
      <c r="J12" s="458">
        <v>495843.29200000002</v>
      </c>
      <c r="K12" s="458">
        <v>30710.294000000002</v>
      </c>
      <c r="L12" s="458">
        <v>52348.004000000001</v>
      </c>
      <c r="M12" s="458">
        <v>49263.161</v>
      </c>
      <c r="N12" s="458">
        <v>20027.797999999999</v>
      </c>
      <c r="O12" s="458">
        <v>31908.264999999999</v>
      </c>
      <c r="P12" s="458">
        <v>16314.129000000001</v>
      </c>
      <c r="Q12" s="458">
        <v>42921.309000000001</v>
      </c>
      <c r="R12" s="458">
        <v>8031.9030000000002</v>
      </c>
      <c r="S12" s="458">
        <v>23012.611000000001</v>
      </c>
      <c r="T12" s="458">
        <v>53272.675000000003</v>
      </c>
      <c r="U12" s="458">
        <v>14192.725</v>
      </c>
      <c r="V12" s="458">
        <v>6484.4520000000002</v>
      </c>
      <c r="W12" s="459">
        <v>1376723.3230000001</v>
      </c>
      <c r="X12" s="77">
        <v>1207555.8749999995</v>
      </c>
      <c r="AQ12" s="79">
        <v>-169167.44800000056</v>
      </c>
    </row>
    <row r="13" spans="1:43" ht="30.75" customHeight="1">
      <c r="A13" s="436" t="s">
        <v>406</v>
      </c>
      <c r="B13" s="458">
        <v>56786.406999999999</v>
      </c>
      <c r="C13" s="458">
        <v>5231.4759999999997</v>
      </c>
      <c r="D13" s="458">
        <v>26329.373</v>
      </c>
      <c r="E13" s="458">
        <v>370345.614</v>
      </c>
      <c r="F13" s="458">
        <v>15978.562</v>
      </c>
      <c r="G13" s="458">
        <v>23916.843000000001</v>
      </c>
      <c r="H13" s="458">
        <v>16371.505999999999</v>
      </c>
      <c r="I13" s="458">
        <v>4323.91</v>
      </c>
      <c r="J13" s="458">
        <v>465962.14199999999</v>
      </c>
      <c r="K13" s="458">
        <v>28340.633999999998</v>
      </c>
      <c r="L13" s="458">
        <v>47301.025000000001</v>
      </c>
      <c r="M13" s="458">
        <v>48177.578999999998</v>
      </c>
      <c r="N13" s="458">
        <v>19708.494999999999</v>
      </c>
      <c r="O13" s="458">
        <v>32803.241999999998</v>
      </c>
      <c r="P13" s="458">
        <v>17164.942999999999</v>
      </c>
      <c r="Q13" s="458">
        <v>44063.85</v>
      </c>
      <c r="R13" s="458">
        <v>7715.6360000000004</v>
      </c>
      <c r="S13" s="458">
        <v>23341.375</v>
      </c>
      <c r="T13" s="458">
        <v>47722.36</v>
      </c>
      <c r="U13" s="458">
        <v>13818.712</v>
      </c>
      <c r="V13" s="458">
        <v>6185.9250000000002</v>
      </c>
      <c r="W13" s="459">
        <v>1321589.6090000002</v>
      </c>
      <c r="X13" s="77">
        <v>1070135.5250000006</v>
      </c>
      <c r="AQ13" s="79">
        <v>-251454.08399999957</v>
      </c>
    </row>
    <row r="14" spans="1:43" ht="30.75" customHeight="1">
      <c r="A14" s="436" t="s">
        <v>47</v>
      </c>
      <c r="B14" s="458">
        <v>58465.995000000003</v>
      </c>
      <c r="C14" s="458">
        <v>5513.4219999999996</v>
      </c>
      <c r="D14" s="458">
        <v>26791.718000000001</v>
      </c>
      <c r="E14" s="458">
        <v>365920.55</v>
      </c>
      <c r="F14" s="458">
        <v>16853.404999999999</v>
      </c>
      <c r="G14" s="458">
        <v>26426.088</v>
      </c>
      <c r="H14" s="458">
        <v>16354.873</v>
      </c>
      <c r="I14" s="458">
        <v>4247.9889999999996</v>
      </c>
      <c r="J14" s="458">
        <v>487053.065</v>
      </c>
      <c r="K14" s="458">
        <v>32149.74</v>
      </c>
      <c r="L14" s="458">
        <v>45765.142999999996</v>
      </c>
      <c r="M14" s="458">
        <v>51383.974000000002</v>
      </c>
      <c r="N14" s="458">
        <v>22839.653999999999</v>
      </c>
      <c r="O14" s="458">
        <v>32622.777999999998</v>
      </c>
      <c r="P14" s="458">
        <v>17222.046999999999</v>
      </c>
      <c r="Q14" s="458">
        <v>42370.430999999997</v>
      </c>
      <c r="R14" s="458">
        <v>8570.6749999999993</v>
      </c>
      <c r="S14" s="458">
        <v>22121.969000000001</v>
      </c>
      <c r="T14" s="458">
        <v>57709.510999999999</v>
      </c>
      <c r="U14" s="458">
        <v>14536.19</v>
      </c>
      <c r="V14" s="458">
        <v>6699.0339999999997</v>
      </c>
      <c r="W14" s="459">
        <v>1361618.2509999999</v>
      </c>
      <c r="X14" s="77">
        <v>1301992.7230000007</v>
      </c>
      <c r="AQ14" s="79">
        <v>-59625.527999999234</v>
      </c>
    </row>
    <row r="15" spans="1:43" ht="30.75" customHeight="1" thickBot="1">
      <c r="A15" s="437" t="s">
        <v>48</v>
      </c>
      <c r="B15" s="458">
        <v>55843.934999999998</v>
      </c>
      <c r="C15" s="458">
        <v>5010.1490000000003</v>
      </c>
      <c r="D15" s="458">
        <v>23736.255000000001</v>
      </c>
      <c r="E15" s="458">
        <v>342086.723</v>
      </c>
      <c r="F15" s="458">
        <v>13450.043</v>
      </c>
      <c r="G15" s="458">
        <v>24074.608</v>
      </c>
      <c r="H15" s="458">
        <v>13685.227999999999</v>
      </c>
      <c r="I15" s="458">
        <v>3864.741</v>
      </c>
      <c r="J15" s="458">
        <v>411707.18599999999</v>
      </c>
      <c r="K15" s="458">
        <v>26085.351999999999</v>
      </c>
      <c r="L15" s="458">
        <v>40418.548999999999</v>
      </c>
      <c r="M15" s="458">
        <v>44642.101000000002</v>
      </c>
      <c r="N15" s="458">
        <v>20326.947</v>
      </c>
      <c r="O15" s="458">
        <v>30813.445</v>
      </c>
      <c r="P15" s="458">
        <v>16468.642</v>
      </c>
      <c r="Q15" s="458">
        <v>39547.173000000003</v>
      </c>
      <c r="R15" s="458">
        <v>7012.9840000000004</v>
      </c>
      <c r="S15" s="458">
        <v>19820.011999999999</v>
      </c>
      <c r="T15" s="458">
        <v>52940.805999999997</v>
      </c>
      <c r="U15" s="458">
        <v>13360.485000000001</v>
      </c>
      <c r="V15" s="458">
        <v>5847.8630000000003</v>
      </c>
      <c r="W15" s="459">
        <v>1210743.2270000002</v>
      </c>
      <c r="X15" s="77">
        <v>1238776.1330000006</v>
      </c>
      <c r="AQ15" s="79">
        <v>28032.906000000425</v>
      </c>
    </row>
    <row r="16" spans="1:43" ht="30.75" customHeight="1" thickBot="1">
      <c r="A16" s="427" t="s">
        <v>49</v>
      </c>
      <c r="B16" s="460">
        <v>686215.53700000001</v>
      </c>
      <c r="C16" s="460">
        <v>61746.013999999996</v>
      </c>
      <c r="D16" s="460">
        <v>309851.34100000001</v>
      </c>
      <c r="E16" s="460">
        <v>4559873.1810000008</v>
      </c>
      <c r="F16" s="460">
        <v>195111.68400000001</v>
      </c>
      <c r="G16" s="460">
        <v>366088.99400000001</v>
      </c>
      <c r="H16" s="460">
        <v>189572.28199999998</v>
      </c>
      <c r="I16" s="460">
        <v>65779.608999999997</v>
      </c>
      <c r="J16" s="460">
        <v>5878910.2200000007</v>
      </c>
      <c r="K16" s="460">
        <v>362375.53600000002</v>
      </c>
      <c r="L16" s="460">
        <v>663743.43800000008</v>
      </c>
      <c r="M16" s="460">
        <v>608302.22400000005</v>
      </c>
      <c r="N16" s="460">
        <v>264565.36100000003</v>
      </c>
      <c r="O16" s="460">
        <v>392752.30900000001</v>
      </c>
      <c r="P16" s="460">
        <v>203753.35599999997</v>
      </c>
      <c r="Q16" s="460">
        <v>542584.79899999988</v>
      </c>
      <c r="R16" s="460">
        <v>102189.97899999999</v>
      </c>
      <c r="S16" s="460">
        <v>273307.79500000004</v>
      </c>
      <c r="T16" s="460">
        <v>628874.53599999996</v>
      </c>
      <c r="U16" s="460">
        <v>161454.36499999999</v>
      </c>
      <c r="V16" s="461">
        <v>77015.832999999999</v>
      </c>
      <c r="W16" s="462">
        <v>16594068.392999999</v>
      </c>
      <c r="X16" s="77">
        <v>15237940.169000003</v>
      </c>
      <c r="AQ16" s="79">
        <v>-1356128.2239999995</v>
      </c>
    </row>
    <row r="17" spans="1:23" ht="30.75" customHeight="1">
      <c r="A17" s="3020" t="s">
        <v>685</v>
      </c>
      <c r="B17" s="3020"/>
      <c r="C17" s="3020"/>
      <c r="D17" s="3020"/>
      <c r="E17" s="3020"/>
      <c r="F17" s="3020"/>
      <c r="G17" s="3020"/>
      <c r="H17" s="3020"/>
      <c r="I17" s="3020"/>
      <c r="J17" s="3020"/>
      <c r="K17" s="3020"/>
      <c r="L17" s="3020"/>
      <c r="M17" s="3020"/>
      <c r="N17" s="3020"/>
      <c r="O17" s="3020"/>
      <c r="P17" s="3020"/>
      <c r="Q17" s="3020"/>
      <c r="R17" s="3020"/>
      <c r="S17" s="3020"/>
      <c r="T17" s="3020"/>
      <c r="U17" s="3020"/>
      <c r="V17" s="3020"/>
      <c r="W17" s="3020"/>
    </row>
    <row r="18" spans="1:23" ht="54" customHeight="1">
      <c r="E18" s="463"/>
    </row>
  </sheetData>
  <mergeCells count="3">
    <mergeCell ref="A1:W1"/>
    <mergeCell ref="A2:W2"/>
    <mergeCell ref="A17:W17"/>
  </mergeCells>
  <printOptions horizontalCentered="1" verticalCentered="1"/>
  <pageMargins left="0.39370078740157483" right="0.39370078740157483" top="0.78740157480314965" bottom="0.78740157480314965" header="0" footer="0"/>
  <pageSetup paperSize="9" scale="5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/>
  </sheetPr>
  <dimension ref="A1:I47"/>
  <sheetViews>
    <sheetView rightToLeft="1" zoomScale="110" zoomScaleNormal="110" workbookViewId="0">
      <selection activeCell="E20" sqref="E20"/>
    </sheetView>
  </sheetViews>
  <sheetFormatPr defaultColWidth="10.375" defaultRowHeight="15.75"/>
  <cols>
    <col min="1" max="1" width="21.25" style="77" customWidth="1"/>
    <col min="2" max="3" width="18" style="77" customWidth="1"/>
    <col min="4" max="5" width="15.625" style="77" customWidth="1"/>
    <col min="6" max="6" width="0" style="77" hidden="1" customWidth="1"/>
    <col min="7" max="7" width="19.375" style="77" customWidth="1"/>
    <col min="8" max="8" width="9.625" style="77" bestFit="1" customWidth="1"/>
    <col min="9" max="16384" width="10.375" style="77"/>
  </cols>
  <sheetData>
    <row r="1" spans="1:5" ht="18" customHeight="1"/>
    <row r="2" spans="1:5" ht="18" customHeight="1"/>
    <row r="3" spans="1:5" ht="18" customHeight="1"/>
    <row r="4" spans="1:5" ht="18" customHeight="1"/>
    <row r="5" spans="1:5" ht="18" customHeight="1"/>
    <row r="6" spans="1:5" ht="18" customHeight="1"/>
    <row r="7" spans="1:5" ht="18" customHeight="1"/>
    <row r="8" spans="1:5" ht="18" customHeight="1"/>
    <row r="9" spans="1:5" ht="18" customHeight="1"/>
    <row r="10" spans="1:5" ht="18" customHeight="1"/>
    <row r="11" spans="1:5" ht="18" customHeight="1"/>
    <row r="12" spans="1:5" ht="18" customHeight="1"/>
    <row r="13" spans="1:5" ht="18" customHeight="1"/>
    <row r="14" spans="1:5" ht="18" customHeight="1"/>
    <row r="15" spans="1:5" ht="18" customHeight="1"/>
    <row r="16" spans="1:5" ht="15" customHeight="1">
      <c r="A16" s="3030" t="s">
        <v>711</v>
      </c>
      <c r="B16" s="3030"/>
      <c r="C16" s="3030"/>
      <c r="D16" s="3030"/>
      <c r="E16" s="3030"/>
    </row>
    <row r="17" spans="1:9" ht="15" customHeight="1" thickBot="1">
      <c r="A17" s="3031" t="s">
        <v>306</v>
      </c>
      <c r="B17" s="3031"/>
      <c r="C17" s="3031"/>
      <c r="D17" s="3031"/>
      <c r="E17" s="3031"/>
    </row>
    <row r="18" spans="1:9" ht="22.5" customHeight="1">
      <c r="A18" s="2942" t="s">
        <v>1</v>
      </c>
      <c r="B18" s="3032" t="s">
        <v>283</v>
      </c>
      <c r="C18" s="3033"/>
      <c r="D18" s="3024" t="s">
        <v>318</v>
      </c>
      <c r="E18" s="3034" t="s">
        <v>284</v>
      </c>
      <c r="F18" s="464">
        <v>9313217</v>
      </c>
    </row>
    <row r="19" spans="1:9" ht="22.5" customHeight="1" thickBot="1">
      <c r="A19" s="3023"/>
      <c r="B19" s="465">
        <v>1401</v>
      </c>
      <c r="C19" s="465">
        <v>1402</v>
      </c>
      <c r="D19" s="3025"/>
      <c r="E19" s="3035"/>
      <c r="F19" s="466">
        <v>4646936</v>
      </c>
    </row>
    <row r="20" spans="1:9" ht="16.5" customHeight="1">
      <c r="A20" s="467" t="s">
        <v>68</v>
      </c>
      <c r="B20" s="2143">
        <v>694752.07499999995</v>
      </c>
      <c r="C20" s="2143">
        <v>686215.53700000001</v>
      </c>
      <c r="D20" s="2144">
        <f t="shared" ref="D20:D41" si="0">C20-B20</f>
        <v>-8536.5379999999423</v>
      </c>
      <c r="E20" s="2139">
        <f t="shared" ref="E20:E41" si="1">D20/B20</f>
        <v>-1.2287171650404848E-2</v>
      </c>
      <c r="F20" s="466"/>
      <c r="G20" s="468"/>
      <c r="I20" s="455"/>
    </row>
    <row r="21" spans="1:9" ht="16.5" customHeight="1">
      <c r="A21" s="173" t="s">
        <v>69</v>
      </c>
      <c r="B21" s="2145">
        <v>53646.832000000002</v>
      </c>
      <c r="C21" s="2145">
        <v>61746.014000000003</v>
      </c>
      <c r="D21" s="2144">
        <f t="shared" si="0"/>
        <v>8099.1820000000007</v>
      </c>
      <c r="E21" s="2140">
        <f t="shared" si="1"/>
        <v>0.15097223261943968</v>
      </c>
      <c r="F21" s="466"/>
      <c r="G21" s="468"/>
      <c r="I21" s="455"/>
    </row>
    <row r="22" spans="1:9" ht="16.5" customHeight="1">
      <c r="A22" s="173" t="s">
        <v>70</v>
      </c>
      <c r="B22" s="2145">
        <v>277882.549</v>
      </c>
      <c r="C22" s="2145">
        <v>309851.34100000001</v>
      </c>
      <c r="D22" s="2144">
        <f t="shared" si="0"/>
        <v>31968.792000000016</v>
      </c>
      <c r="E22" s="2140">
        <f t="shared" si="1"/>
        <v>0.11504425922046661</v>
      </c>
      <c r="F22" s="466"/>
      <c r="G22" s="468"/>
      <c r="I22" s="455"/>
    </row>
    <row r="23" spans="1:9" ht="16.5" customHeight="1">
      <c r="A23" s="173" t="s">
        <v>71</v>
      </c>
      <c r="B23" s="2145">
        <v>4474304.8559999997</v>
      </c>
      <c r="C23" s="2145">
        <v>4559873.1809999999</v>
      </c>
      <c r="D23" s="2144">
        <f t="shared" si="0"/>
        <v>85568.325000000186</v>
      </c>
      <c r="E23" s="2140">
        <f t="shared" si="1"/>
        <v>1.912438417897562E-2</v>
      </c>
      <c r="F23" s="466"/>
      <c r="G23" s="468"/>
      <c r="H23" s="79"/>
      <c r="I23" s="455"/>
    </row>
    <row r="24" spans="1:9" ht="16.5" customHeight="1">
      <c r="A24" s="173" t="s">
        <v>72</v>
      </c>
      <c r="B24" s="2145">
        <v>179078.31899999999</v>
      </c>
      <c r="C24" s="2145">
        <v>195111.68400000001</v>
      </c>
      <c r="D24" s="2144">
        <f t="shared" si="0"/>
        <v>16033.36500000002</v>
      </c>
      <c r="E24" s="2140">
        <f t="shared" si="1"/>
        <v>8.953269770194805E-2</v>
      </c>
      <c r="F24" s="466"/>
      <c r="G24" s="468"/>
      <c r="I24" s="455"/>
    </row>
    <row r="25" spans="1:9" ht="16.5" customHeight="1">
      <c r="A25" s="450" t="s">
        <v>73</v>
      </c>
      <c r="B25" s="2145">
        <v>326872.261</v>
      </c>
      <c r="C25" s="2145">
        <v>366088.99400000001</v>
      </c>
      <c r="D25" s="2144">
        <f t="shared" si="0"/>
        <v>39216.733000000007</v>
      </c>
      <c r="E25" s="2140">
        <f t="shared" si="1"/>
        <v>0.1199757143051059</v>
      </c>
      <c r="F25" s="466"/>
      <c r="G25" s="468"/>
      <c r="I25" s="455"/>
    </row>
    <row r="26" spans="1:9" ht="16.5" customHeight="1">
      <c r="A26" s="173" t="s">
        <v>483</v>
      </c>
      <c r="B26" s="2145">
        <v>171217.93799999999</v>
      </c>
      <c r="C26" s="2145">
        <v>189572.28200000001</v>
      </c>
      <c r="D26" s="2144">
        <f t="shared" si="0"/>
        <v>18354.344000000012</v>
      </c>
      <c r="E26" s="2140">
        <f t="shared" si="1"/>
        <v>0.10719872119941085</v>
      </c>
      <c r="F26" s="466"/>
      <c r="G26" s="468"/>
      <c r="I26" s="455"/>
    </row>
    <row r="27" spans="1:9" ht="16.5" customHeight="1">
      <c r="A27" s="173" t="s">
        <v>401</v>
      </c>
      <c r="B27" s="2145">
        <v>66237.42</v>
      </c>
      <c r="C27" s="2145">
        <v>65779.608999999997</v>
      </c>
      <c r="D27" s="2144">
        <f t="shared" si="0"/>
        <v>-457.81100000000151</v>
      </c>
      <c r="E27" s="2140">
        <f t="shared" si="1"/>
        <v>-6.9116671512870148E-3</v>
      </c>
      <c r="F27" s="466"/>
      <c r="G27" s="468"/>
      <c r="I27" s="455"/>
    </row>
    <row r="28" spans="1:9" ht="16.5" customHeight="1">
      <c r="A28" s="173" t="s">
        <v>76</v>
      </c>
      <c r="B28" s="2145">
        <v>5617187.7019999996</v>
      </c>
      <c r="C28" s="2145">
        <v>5878910.2199999997</v>
      </c>
      <c r="D28" s="2144">
        <f t="shared" si="0"/>
        <v>261722.51800000016</v>
      </c>
      <c r="E28" s="2140">
        <f t="shared" si="1"/>
        <v>4.659315869163743E-2</v>
      </c>
      <c r="F28" s="466"/>
      <c r="G28" s="468"/>
      <c r="I28" s="455"/>
    </row>
    <row r="29" spans="1:9" ht="16.5" customHeight="1">
      <c r="A29" s="173" t="s">
        <v>77</v>
      </c>
      <c r="B29" s="2145">
        <v>305823.016</v>
      </c>
      <c r="C29" s="2145">
        <v>362375.53600000002</v>
      </c>
      <c r="D29" s="2144">
        <f t="shared" si="0"/>
        <v>56552.520000000019</v>
      </c>
      <c r="E29" s="2140">
        <f t="shared" si="1"/>
        <v>0.18491911020850052</v>
      </c>
      <c r="F29" s="466"/>
      <c r="G29" s="468"/>
      <c r="I29" s="455"/>
    </row>
    <row r="30" spans="1:9" ht="16.5" customHeight="1">
      <c r="A30" s="173" t="s">
        <v>78</v>
      </c>
      <c r="B30" s="2145">
        <v>698110.05500000005</v>
      </c>
      <c r="C30" s="2145">
        <v>663743.43799999997</v>
      </c>
      <c r="D30" s="2144">
        <f t="shared" si="0"/>
        <v>-34366.617000000086</v>
      </c>
      <c r="E30" s="2140">
        <f t="shared" si="1"/>
        <v>-4.9228079088475644E-2</v>
      </c>
      <c r="F30" s="466"/>
      <c r="G30" s="468"/>
      <c r="I30" s="455"/>
    </row>
    <row r="31" spans="1:9" ht="16.5" customHeight="1">
      <c r="A31" s="173" t="s">
        <v>79</v>
      </c>
      <c r="B31" s="2145">
        <v>591227.125</v>
      </c>
      <c r="C31" s="2145">
        <v>608302.22400000005</v>
      </c>
      <c r="D31" s="2144">
        <f t="shared" si="0"/>
        <v>17075.099000000046</v>
      </c>
      <c r="E31" s="2140">
        <f t="shared" si="1"/>
        <v>2.888077741696991E-2</v>
      </c>
      <c r="F31" s="466"/>
      <c r="G31" s="468"/>
      <c r="I31" s="455"/>
    </row>
    <row r="32" spans="1:9" ht="16.5" customHeight="1">
      <c r="A32" s="173" t="s">
        <v>402</v>
      </c>
      <c r="B32" s="2145">
        <v>269783.84000000003</v>
      </c>
      <c r="C32" s="2145">
        <v>264565.36099999998</v>
      </c>
      <c r="D32" s="2144">
        <f t="shared" si="0"/>
        <v>-5218.4790000000503</v>
      </c>
      <c r="E32" s="2140">
        <f t="shared" si="1"/>
        <v>-1.9343186011438081E-2</v>
      </c>
      <c r="F32" s="466"/>
      <c r="G32" s="468"/>
      <c r="I32" s="455"/>
    </row>
    <row r="33" spans="1:9" ht="16.5" customHeight="1">
      <c r="A33" s="173" t="s">
        <v>81</v>
      </c>
      <c r="B33" s="2145">
        <v>363123.935</v>
      </c>
      <c r="C33" s="2145">
        <v>392752.30900000001</v>
      </c>
      <c r="D33" s="2144">
        <f t="shared" si="0"/>
        <v>29628.374000000011</v>
      </c>
      <c r="E33" s="2140">
        <f t="shared" si="1"/>
        <v>8.159300763250435E-2</v>
      </c>
      <c r="F33" s="466"/>
      <c r="G33" s="468"/>
      <c r="I33" s="455"/>
    </row>
    <row r="34" spans="1:9" ht="16.5" customHeight="1">
      <c r="A34" s="173" t="s">
        <v>82</v>
      </c>
      <c r="B34" s="2145">
        <v>145265.33600000001</v>
      </c>
      <c r="C34" s="2145">
        <v>203753.356</v>
      </c>
      <c r="D34" s="2144">
        <f t="shared" si="0"/>
        <v>58488.01999999999</v>
      </c>
      <c r="E34" s="2140">
        <f t="shared" si="1"/>
        <v>0.40262888319068757</v>
      </c>
      <c r="F34" s="466"/>
      <c r="G34" s="468"/>
      <c r="I34" s="455"/>
    </row>
    <row r="35" spans="1:9" ht="16.5" customHeight="1">
      <c r="A35" s="173" t="s">
        <v>83</v>
      </c>
      <c r="B35" s="2145">
        <v>557684.24100000004</v>
      </c>
      <c r="C35" s="2145">
        <v>542584.799</v>
      </c>
      <c r="D35" s="2144">
        <f t="shared" si="0"/>
        <v>-15099.442000000039</v>
      </c>
      <c r="E35" s="2140">
        <f t="shared" si="1"/>
        <v>-2.707525314490649E-2</v>
      </c>
      <c r="G35" s="468"/>
      <c r="H35" s="79"/>
      <c r="I35" s="455"/>
    </row>
    <row r="36" spans="1:9" ht="16.5" customHeight="1">
      <c r="A36" s="173" t="s">
        <v>84</v>
      </c>
      <c r="B36" s="2145">
        <v>90286.516000000003</v>
      </c>
      <c r="C36" s="2145">
        <v>102189.97900000001</v>
      </c>
      <c r="D36" s="2144">
        <f t="shared" si="0"/>
        <v>11903.463000000003</v>
      </c>
      <c r="E36" s="2140">
        <f t="shared" si="1"/>
        <v>0.13184098276646319</v>
      </c>
      <c r="G36" s="468"/>
      <c r="I36" s="455"/>
    </row>
    <row r="37" spans="1:9" ht="16.5" customHeight="1">
      <c r="A37" s="173" t="s">
        <v>85</v>
      </c>
      <c r="B37" s="2145">
        <v>288320.73100000003</v>
      </c>
      <c r="C37" s="2145">
        <v>273307.79499999998</v>
      </c>
      <c r="D37" s="2144">
        <f t="shared" si="0"/>
        <v>-15012.936000000045</v>
      </c>
      <c r="E37" s="2140">
        <f t="shared" si="1"/>
        <v>-5.2070261988896124E-2</v>
      </c>
      <c r="G37" s="468"/>
      <c r="I37" s="455"/>
    </row>
    <row r="38" spans="1:9" ht="16.5" customHeight="1">
      <c r="A38" s="173" t="s">
        <v>87</v>
      </c>
      <c r="B38" s="2145">
        <v>519085.16899999999</v>
      </c>
      <c r="C38" s="2145">
        <v>628874.53599999996</v>
      </c>
      <c r="D38" s="2144">
        <f t="shared" si="0"/>
        <v>109789.36699999997</v>
      </c>
      <c r="E38" s="2140">
        <f t="shared" si="1"/>
        <v>0.21150549766525881</v>
      </c>
      <c r="G38" s="468"/>
      <c r="I38" s="455"/>
    </row>
    <row r="39" spans="1:9" ht="16.5" customHeight="1">
      <c r="A39" s="173" t="s">
        <v>88</v>
      </c>
      <c r="B39" s="2145">
        <v>142799.49600000001</v>
      </c>
      <c r="C39" s="2145">
        <v>161454.36499999999</v>
      </c>
      <c r="D39" s="2144">
        <f t="shared" si="0"/>
        <v>18654.868999999977</v>
      </c>
      <c r="E39" s="2140">
        <f t="shared" si="1"/>
        <v>0.13063679860606772</v>
      </c>
      <c r="G39" s="468"/>
      <c r="I39" s="455"/>
    </row>
    <row r="40" spans="1:9" ht="17.25" customHeight="1" thickBot="1">
      <c r="A40" s="173" t="s">
        <v>683</v>
      </c>
      <c r="B40" s="2145">
        <v>73328.795000000013</v>
      </c>
      <c r="C40" s="2145">
        <v>77015.832999999999</v>
      </c>
      <c r="D40" s="2144">
        <f t="shared" si="0"/>
        <v>3687.0379999999859</v>
      </c>
      <c r="E40" s="2140">
        <f t="shared" si="1"/>
        <v>5.0280902611313676E-2</v>
      </c>
      <c r="G40" s="468"/>
      <c r="H40" s="79"/>
      <c r="I40" s="455"/>
    </row>
    <row r="41" spans="1:9" ht="19.5" thickBot="1">
      <c r="A41" s="190" t="s">
        <v>49</v>
      </c>
      <c r="B41" s="2146">
        <f>SUM(B20:B40)</f>
        <v>15906018.207</v>
      </c>
      <c r="C41" s="2142">
        <f>SUM(C20:C40)</f>
        <v>16594068.393000001</v>
      </c>
      <c r="D41" s="2147">
        <f t="shared" si="0"/>
        <v>688050.18600000069</v>
      </c>
      <c r="E41" s="2141">
        <f t="shared" si="1"/>
        <v>4.325722358957191E-2</v>
      </c>
      <c r="F41" s="80"/>
      <c r="G41" s="468"/>
      <c r="H41" s="454"/>
      <c r="I41" s="455"/>
    </row>
    <row r="42" spans="1:9">
      <c r="A42" s="3021" t="s">
        <v>685</v>
      </c>
      <c r="B42" s="3021"/>
      <c r="C42" s="3021"/>
      <c r="D42" s="3021"/>
      <c r="E42" s="3021"/>
      <c r="G42" s="468"/>
      <c r="H42" s="81"/>
    </row>
    <row r="44" spans="1:9">
      <c r="C44" s="469"/>
    </row>
    <row r="45" spans="1:9">
      <c r="E45" s="80"/>
    </row>
    <row r="46" spans="1:9">
      <c r="E46" s="470"/>
    </row>
    <row r="47" spans="1:9">
      <c r="E47" s="471"/>
    </row>
  </sheetData>
  <mergeCells count="7">
    <mergeCell ref="A42:E42"/>
    <mergeCell ref="A16:E16"/>
    <mergeCell ref="A17:E17"/>
    <mergeCell ref="A18:A19"/>
    <mergeCell ref="B18:C18"/>
    <mergeCell ref="D18:D19"/>
    <mergeCell ref="E18:E19"/>
  </mergeCells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95" firstPageNumber="12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/>
  </sheetPr>
  <dimension ref="A1"/>
  <sheetViews>
    <sheetView rightToLeft="1" topLeftCell="A18" zoomScaleNormal="100" workbookViewId="0">
      <selection activeCell="L2" sqref="B2:L39"/>
    </sheetView>
  </sheetViews>
  <sheetFormatPr defaultColWidth="9.125" defaultRowHeight="18"/>
  <cols>
    <col min="1" max="16384" width="9.125" style="214"/>
  </cols>
  <sheetData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0" firstPageNumber="124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/>
  </sheetPr>
  <dimension ref="A1:AQ37"/>
  <sheetViews>
    <sheetView rightToLeft="1" topLeftCell="A18" workbookViewId="0">
      <selection sqref="A1:K37"/>
    </sheetView>
  </sheetViews>
  <sheetFormatPr defaultColWidth="10.375" defaultRowHeight="15.75"/>
  <cols>
    <col min="1" max="1" width="12.375" style="77" bestFit="1" customWidth="1"/>
    <col min="2" max="2" width="14.125" style="77" customWidth="1"/>
    <col min="3" max="3" width="13.625" style="77" customWidth="1"/>
    <col min="4" max="4" width="17" style="77" customWidth="1"/>
    <col min="5" max="5" width="13.625" style="77" customWidth="1"/>
    <col min="6" max="6" width="12.875" style="77" customWidth="1"/>
    <col min="7" max="7" width="16.25" style="77" customWidth="1"/>
    <col min="8" max="8" width="15.125" style="77" customWidth="1"/>
    <col min="9" max="9" width="13.75" style="77" customWidth="1"/>
    <col min="10" max="10" width="10.625" style="77" customWidth="1"/>
    <col min="11" max="11" width="13.375" style="77" customWidth="1"/>
    <col min="12" max="12" width="0" style="77" hidden="1" customWidth="1"/>
    <col min="13" max="13" width="9.625" style="77" hidden="1" customWidth="1"/>
    <col min="14" max="22" width="0" style="77" hidden="1" customWidth="1"/>
    <col min="23" max="42" width="10.375" style="77"/>
    <col min="43" max="43" width="12.75" style="77" bestFit="1" customWidth="1"/>
    <col min="44" max="16384" width="10.375" style="77"/>
  </cols>
  <sheetData>
    <row r="1" spans="1:43" ht="31.5" customHeight="1" thickBot="1">
      <c r="A1" s="3036" t="s">
        <v>712</v>
      </c>
      <c r="B1" s="3036"/>
      <c r="C1" s="3036"/>
      <c r="D1" s="3036"/>
      <c r="E1" s="3036"/>
      <c r="F1" s="3036"/>
      <c r="G1" s="3036"/>
      <c r="H1" s="3036"/>
      <c r="I1" s="3036"/>
      <c r="J1" s="3036"/>
      <c r="K1" s="3036"/>
    </row>
    <row r="2" spans="1:43" ht="51" customHeight="1" thickBot="1">
      <c r="A2" s="472" t="s">
        <v>713</v>
      </c>
      <c r="B2" s="473" t="s">
        <v>78</v>
      </c>
      <c r="C2" s="474" t="s">
        <v>76</v>
      </c>
      <c r="D2" s="475" t="s">
        <v>714</v>
      </c>
      <c r="E2" s="474" t="s">
        <v>84</v>
      </c>
      <c r="F2" s="475" t="s">
        <v>715</v>
      </c>
      <c r="G2" s="475" t="s">
        <v>716</v>
      </c>
      <c r="H2" s="475" t="s">
        <v>73</v>
      </c>
      <c r="I2" s="474" t="s">
        <v>717</v>
      </c>
      <c r="J2" s="476" t="s">
        <v>718</v>
      </c>
      <c r="K2" s="472" t="s">
        <v>49</v>
      </c>
      <c r="L2" s="77" t="s">
        <v>408</v>
      </c>
      <c r="M2" s="77" t="s">
        <v>78</v>
      </c>
      <c r="N2" s="77" t="s">
        <v>719</v>
      </c>
      <c r="O2" s="77" t="s">
        <v>68</v>
      </c>
      <c r="P2" s="77" t="s">
        <v>82</v>
      </c>
      <c r="Q2" s="77" t="s">
        <v>76</v>
      </c>
      <c r="R2" s="77" t="s">
        <v>84</v>
      </c>
      <c r="S2" s="77" t="s">
        <v>72</v>
      </c>
      <c r="T2" s="77" t="s">
        <v>717</v>
      </c>
      <c r="U2" s="77" t="s">
        <v>720</v>
      </c>
      <c r="V2" s="77" t="s">
        <v>708</v>
      </c>
    </row>
    <row r="3" spans="1:43" ht="19.5">
      <c r="A3" s="477" t="s">
        <v>37</v>
      </c>
      <c r="B3" s="478">
        <v>222174</v>
      </c>
      <c r="C3" s="478">
        <v>852443</v>
      </c>
      <c r="D3" s="478">
        <v>223037</v>
      </c>
      <c r="E3" s="478">
        <v>135464</v>
      </c>
      <c r="F3" s="478">
        <v>46106</v>
      </c>
      <c r="G3" s="478">
        <v>279054</v>
      </c>
      <c r="H3" s="478">
        <v>57613</v>
      </c>
      <c r="I3" s="479">
        <v>653423</v>
      </c>
      <c r="J3" s="480"/>
      <c r="K3" s="481">
        <v>2469314</v>
      </c>
      <c r="L3" s="77">
        <v>1</v>
      </c>
      <c r="M3" s="77">
        <v>266982</v>
      </c>
      <c r="O3" s="77">
        <v>228858</v>
      </c>
      <c r="P3" s="77">
        <v>277304</v>
      </c>
      <c r="Q3" s="77">
        <v>855553</v>
      </c>
      <c r="R3" s="77">
        <v>121314</v>
      </c>
      <c r="S3" s="77">
        <v>53817</v>
      </c>
      <c r="T3" s="77">
        <v>556815</v>
      </c>
      <c r="U3" s="77">
        <v>3664</v>
      </c>
      <c r="V3" s="77">
        <v>2364307</v>
      </c>
      <c r="AQ3" s="79"/>
    </row>
    <row r="4" spans="1:43" ht="19.5">
      <c r="A4" s="482" t="s">
        <v>38</v>
      </c>
      <c r="B4" s="478">
        <v>231700</v>
      </c>
      <c r="C4" s="478">
        <v>968909</v>
      </c>
      <c r="D4" s="478">
        <v>244671</v>
      </c>
      <c r="E4" s="478">
        <v>139943</v>
      </c>
      <c r="F4" s="478">
        <v>58521</v>
      </c>
      <c r="G4" s="478">
        <v>288945</v>
      </c>
      <c r="H4" s="478">
        <v>65937</v>
      </c>
      <c r="I4" s="479">
        <v>878175</v>
      </c>
      <c r="J4" s="480"/>
      <c r="K4" s="481">
        <v>2876801</v>
      </c>
      <c r="L4" s="77">
        <v>2</v>
      </c>
      <c r="M4" s="77">
        <v>227536</v>
      </c>
      <c r="O4" s="77">
        <v>205729</v>
      </c>
      <c r="P4" s="77">
        <v>268929</v>
      </c>
      <c r="Q4" s="77">
        <v>727239</v>
      </c>
      <c r="R4" s="77">
        <v>109816</v>
      </c>
      <c r="S4" s="77">
        <v>44959</v>
      </c>
      <c r="T4" s="77">
        <v>668553</v>
      </c>
      <c r="U4" s="77">
        <v>5008</v>
      </c>
      <c r="V4" s="77">
        <v>2257769</v>
      </c>
    </row>
    <row r="5" spans="1:43" ht="19.5">
      <c r="A5" s="482" t="s">
        <v>39</v>
      </c>
      <c r="B5" s="478">
        <v>213798</v>
      </c>
      <c r="C5" s="478">
        <v>946139</v>
      </c>
      <c r="D5" s="478">
        <v>236140</v>
      </c>
      <c r="E5" s="478">
        <v>141221</v>
      </c>
      <c r="F5" s="478">
        <v>54039</v>
      </c>
      <c r="G5" s="478">
        <v>289329</v>
      </c>
      <c r="H5" s="478">
        <v>63163</v>
      </c>
      <c r="I5" s="479">
        <v>874121</v>
      </c>
      <c r="J5" s="480"/>
      <c r="K5" s="481">
        <v>2817950</v>
      </c>
      <c r="L5" s="77">
        <v>3</v>
      </c>
      <c r="M5" s="77">
        <v>205135</v>
      </c>
      <c r="N5" s="77">
        <v>2</v>
      </c>
      <c r="O5" s="77">
        <v>158980</v>
      </c>
      <c r="P5" s="77">
        <v>239120</v>
      </c>
      <c r="Q5" s="77">
        <v>643845</v>
      </c>
      <c r="R5" s="77">
        <v>107980</v>
      </c>
      <c r="S5" s="77">
        <v>40859</v>
      </c>
      <c r="T5" s="77">
        <v>547414</v>
      </c>
      <c r="U5" s="77">
        <v>1774</v>
      </c>
      <c r="V5" s="77">
        <v>1945109</v>
      </c>
    </row>
    <row r="6" spans="1:43" ht="19.5">
      <c r="A6" s="482" t="s">
        <v>40</v>
      </c>
      <c r="B6" s="478">
        <v>224554</v>
      </c>
      <c r="C6" s="478">
        <v>902097</v>
      </c>
      <c r="D6" s="478">
        <v>232669</v>
      </c>
      <c r="E6" s="478">
        <v>144581</v>
      </c>
      <c r="F6" s="478">
        <v>44437</v>
      </c>
      <c r="G6" s="478">
        <v>252363</v>
      </c>
      <c r="H6" s="478">
        <v>33870</v>
      </c>
      <c r="I6" s="479">
        <v>775071</v>
      </c>
      <c r="J6" s="480"/>
      <c r="K6" s="481">
        <v>2609642</v>
      </c>
      <c r="L6" s="77">
        <v>4</v>
      </c>
      <c r="M6" s="77">
        <v>265500</v>
      </c>
      <c r="N6" s="77">
        <v>76</v>
      </c>
      <c r="O6" s="77">
        <v>247091</v>
      </c>
      <c r="P6" s="77">
        <v>289237</v>
      </c>
      <c r="Q6" s="77">
        <v>906355</v>
      </c>
      <c r="R6" s="77">
        <v>128882</v>
      </c>
      <c r="S6" s="77">
        <v>48876</v>
      </c>
      <c r="T6" s="77">
        <v>567222</v>
      </c>
      <c r="U6" s="77">
        <v>3520</v>
      </c>
      <c r="V6" s="77">
        <v>2456759</v>
      </c>
    </row>
    <row r="7" spans="1:43" ht="19.5">
      <c r="A7" s="482" t="s">
        <v>41</v>
      </c>
      <c r="B7" s="478">
        <v>218454</v>
      </c>
      <c r="C7" s="478">
        <v>884926</v>
      </c>
      <c r="D7" s="478">
        <v>242305</v>
      </c>
      <c r="E7" s="478">
        <v>142079</v>
      </c>
      <c r="F7" s="478">
        <v>46633</v>
      </c>
      <c r="G7" s="478">
        <v>249768</v>
      </c>
      <c r="H7" s="478">
        <v>34223</v>
      </c>
      <c r="I7" s="479">
        <v>771275</v>
      </c>
      <c r="J7" s="480">
        <v>298</v>
      </c>
      <c r="K7" s="481">
        <v>2589961</v>
      </c>
      <c r="L7" s="77">
        <v>5</v>
      </c>
      <c r="M7" s="77">
        <v>267625</v>
      </c>
      <c r="N7" s="77">
        <v>165</v>
      </c>
      <c r="O7" s="77">
        <v>260477</v>
      </c>
      <c r="P7" s="77">
        <v>292192</v>
      </c>
      <c r="Q7" s="77">
        <v>1034042</v>
      </c>
      <c r="R7" s="77">
        <v>144614</v>
      </c>
      <c r="S7" s="77">
        <v>49906</v>
      </c>
      <c r="T7" s="77">
        <v>599129</v>
      </c>
      <c r="U7" s="77">
        <v>3672</v>
      </c>
      <c r="V7" s="77">
        <v>2651822</v>
      </c>
    </row>
    <row r="8" spans="1:43" ht="19.5">
      <c r="A8" s="482" t="s">
        <v>42</v>
      </c>
      <c r="B8" s="478">
        <v>225005</v>
      </c>
      <c r="C8" s="478">
        <v>897915</v>
      </c>
      <c r="D8" s="478">
        <v>331778</v>
      </c>
      <c r="E8" s="478">
        <v>131823</v>
      </c>
      <c r="F8" s="478">
        <v>54648</v>
      </c>
      <c r="G8" s="478">
        <v>248714</v>
      </c>
      <c r="H8" s="478">
        <v>45497</v>
      </c>
      <c r="I8" s="479">
        <v>928267</v>
      </c>
      <c r="J8" s="480">
        <v>846</v>
      </c>
      <c r="K8" s="481">
        <v>2864493</v>
      </c>
      <c r="L8" s="77">
        <v>6</v>
      </c>
      <c r="M8" s="77">
        <v>270030</v>
      </c>
      <c r="N8" s="77">
        <v>222</v>
      </c>
      <c r="O8" s="77">
        <v>228742</v>
      </c>
      <c r="P8" s="77">
        <v>302244</v>
      </c>
      <c r="Q8" s="77">
        <v>1030261</v>
      </c>
      <c r="R8" s="77">
        <v>142238</v>
      </c>
      <c r="S8" s="77">
        <v>55588</v>
      </c>
      <c r="T8" s="77">
        <v>625721</v>
      </c>
      <c r="U8" s="77">
        <v>3596</v>
      </c>
      <c r="V8" s="77">
        <v>2658642</v>
      </c>
    </row>
    <row r="9" spans="1:43" ht="19.5">
      <c r="A9" s="482" t="s">
        <v>43</v>
      </c>
      <c r="B9" s="478">
        <v>225509</v>
      </c>
      <c r="C9" s="478">
        <v>905986</v>
      </c>
      <c r="D9" s="478">
        <v>253901</v>
      </c>
      <c r="E9" s="478">
        <v>123508</v>
      </c>
      <c r="F9" s="478">
        <v>48044</v>
      </c>
      <c r="G9" s="478">
        <v>269915</v>
      </c>
      <c r="H9" s="478">
        <v>33628</v>
      </c>
      <c r="I9" s="479">
        <v>797807</v>
      </c>
      <c r="J9" s="480">
        <v>94</v>
      </c>
      <c r="K9" s="481">
        <v>2658392</v>
      </c>
      <c r="L9" s="77">
        <v>7</v>
      </c>
      <c r="M9" s="77">
        <v>217678</v>
      </c>
      <c r="N9" s="77">
        <v>74</v>
      </c>
      <c r="O9" s="77">
        <v>204106</v>
      </c>
      <c r="P9" s="77">
        <v>254458</v>
      </c>
      <c r="Q9" s="77">
        <v>826918</v>
      </c>
      <c r="R9" s="77">
        <v>105596</v>
      </c>
      <c r="S9" s="77">
        <v>41250</v>
      </c>
      <c r="T9" s="77">
        <v>657225</v>
      </c>
      <c r="U9" s="77">
        <v>3598</v>
      </c>
      <c r="V9" s="77">
        <v>2310903</v>
      </c>
    </row>
    <row r="10" spans="1:43" ht="19.5">
      <c r="A10" s="482" t="s">
        <v>405</v>
      </c>
      <c r="B10" s="478">
        <v>235354</v>
      </c>
      <c r="C10" s="478">
        <v>889482</v>
      </c>
      <c r="D10" s="478">
        <v>250128</v>
      </c>
      <c r="E10" s="478">
        <v>117520</v>
      </c>
      <c r="F10" s="478">
        <v>51006</v>
      </c>
      <c r="G10" s="478">
        <v>255877</v>
      </c>
      <c r="H10" s="478">
        <v>48895</v>
      </c>
      <c r="I10" s="479">
        <v>873218</v>
      </c>
      <c r="J10" s="480"/>
      <c r="K10" s="481">
        <v>2721480</v>
      </c>
      <c r="L10" s="77">
        <v>8</v>
      </c>
      <c r="M10" s="77">
        <v>239764</v>
      </c>
      <c r="N10" s="77">
        <v>67</v>
      </c>
      <c r="O10" s="77">
        <v>243367</v>
      </c>
      <c r="P10" s="77">
        <v>257937</v>
      </c>
      <c r="Q10" s="77">
        <v>841240</v>
      </c>
      <c r="R10" s="77">
        <v>109272</v>
      </c>
      <c r="S10" s="77">
        <v>44888</v>
      </c>
      <c r="T10" s="77">
        <v>667335</v>
      </c>
      <c r="U10" s="77">
        <v>2720</v>
      </c>
      <c r="V10" s="77">
        <v>2406590</v>
      </c>
    </row>
    <row r="11" spans="1:43" ht="19.5">
      <c r="A11" s="482" t="s">
        <v>45</v>
      </c>
      <c r="B11" s="478">
        <v>222854</v>
      </c>
      <c r="C11" s="478">
        <v>892450</v>
      </c>
      <c r="D11" s="478">
        <v>250487</v>
      </c>
      <c r="E11" s="478">
        <v>124760</v>
      </c>
      <c r="F11" s="478">
        <v>50416</v>
      </c>
      <c r="G11" s="478">
        <v>253240</v>
      </c>
      <c r="H11" s="478">
        <v>48612</v>
      </c>
      <c r="I11" s="479">
        <v>823874</v>
      </c>
      <c r="J11" s="480">
        <v>833</v>
      </c>
      <c r="K11" s="481">
        <v>2667526</v>
      </c>
      <c r="L11" s="77">
        <v>9</v>
      </c>
      <c r="M11" s="77">
        <v>239516</v>
      </c>
      <c r="N11" s="77">
        <v>42</v>
      </c>
      <c r="O11" s="77">
        <v>192945</v>
      </c>
      <c r="P11" s="77">
        <v>271182</v>
      </c>
      <c r="Q11" s="77">
        <v>805978</v>
      </c>
      <c r="R11" s="77">
        <v>104390</v>
      </c>
      <c r="S11" s="77">
        <v>39732</v>
      </c>
      <c r="T11" s="77">
        <v>627225</v>
      </c>
      <c r="U11" s="77">
        <v>3154</v>
      </c>
      <c r="V11" s="77">
        <v>2284164</v>
      </c>
    </row>
    <row r="12" spans="1:43" ht="19.5">
      <c r="A12" s="482" t="s">
        <v>406</v>
      </c>
      <c r="B12" s="478">
        <v>207461</v>
      </c>
      <c r="C12" s="478">
        <v>849639</v>
      </c>
      <c r="D12" s="478">
        <v>249257</v>
      </c>
      <c r="E12" s="478">
        <v>119302</v>
      </c>
      <c r="F12" s="478">
        <v>45579</v>
      </c>
      <c r="G12" s="478">
        <v>257498</v>
      </c>
      <c r="H12" s="478">
        <v>32602</v>
      </c>
      <c r="I12" s="479">
        <v>803810</v>
      </c>
      <c r="J12" s="480">
        <v>1071</v>
      </c>
      <c r="K12" s="481">
        <v>2566219</v>
      </c>
      <c r="L12" s="77">
        <v>10</v>
      </c>
      <c r="M12" s="77">
        <v>226158</v>
      </c>
      <c r="N12" s="77">
        <v>75</v>
      </c>
      <c r="O12" s="77">
        <v>174006</v>
      </c>
      <c r="P12" s="77">
        <v>258504</v>
      </c>
      <c r="Q12" s="77">
        <v>710386</v>
      </c>
      <c r="R12" s="77">
        <v>95426</v>
      </c>
      <c r="S12" s="77">
        <v>38519</v>
      </c>
      <c r="T12" s="77">
        <v>603605</v>
      </c>
      <c r="U12" s="77">
        <v>1118</v>
      </c>
      <c r="V12" s="77">
        <v>2107797</v>
      </c>
    </row>
    <row r="13" spans="1:43" ht="19.5">
      <c r="A13" s="482" t="s">
        <v>47</v>
      </c>
      <c r="B13" s="478">
        <v>203453</v>
      </c>
      <c r="C13" s="478">
        <v>871888</v>
      </c>
      <c r="D13" s="478">
        <v>253894</v>
      </c>
      <c r="E13" s="478">
        <v>125464</v>
      </c>
      <c r="F13" s="478">
        <v>47429</v>
      </c>
      <c r="G13" s="478">
        <v>267011</v>
      </c>
      <c r="H13" s="478">
        <v>31752</v>
      </c>
      <c r="I13" s="479">
        <v>801109</v>
      </c>
      <c r="J13" s="480">
        <v>2056</v>
      </c>
      <c r="K13" s="481">
        <v>2604056</v>
      </c>
      <c r="L13" s="77">
        <v>11</v>
      </c>
      <c r="M13" s="77">
        <v>238180</v>
      </c>
      <c r="N13" s="77">
        <v>91</v>
      </c>
      <c r="O13" s="77">
        <v>206206</v>
      </c>
      <c r="P13" s="77">
        <v>281211</v>
      </c>
      <c r="Q13" s="77">
        <v>848151</v>
      </c>
      <c r="R13" s="77">
        <v>119526</v>
      </c>
      <c r="S13" s="77">
        <v>42704</v>
      </c>
      <c r="T13" s="77">
        <v>621047</v>
      </c>
      <c r="U13" s="77">
        <v>1649</v>
      </c>
      <c r="V13" s="77">
        <v>2358765</v>
      </c>
    </row>
    <row r="14" spans="1:43" ht="20.25" thickBot="1">
      <c r="A14" s="483" t="s">
        <v>48</v>
      </c>
      <c r="B14" s="478">
        <v>180432</v>
      </c>
      <c r="C14" s="478">
        <v>752080</v>
      </c>
      <c r="D14" s="478">
        <v>241516</v>
      </c>
      <c r="E14" s="478">
        <v>112398</v>
      </c>
      <c r="F14" s="478">
        <v>36728</v>
      </c>
      <c r="G14" s="478">
        <v>241465</v>
      </c>
      <c r="H14" s="478">
        <v>30715</v>
      </c>
      <c r="I14" s="479">
        <v>741000</v>
      </c>
      <c r="J14" s="480">
        <v>1959</v>
      </c>
      <c r="K14" s="481">
        <v>2338293</v>
      </c>
      <c r="L14" s="77">
        <v>12</v>
      </c>
      <c r="M14" s="79">
        <v>218632</v>
      </c>
      <c r="N14" s="77">
        <v>206</v>
      </c>
      <c r="O14" s="77">
        <v>221344</v>
      </c>
      <c r="P14" s="77">
        <v>275054</v>
      </c>
      <c r="Q14" s="77">
        <v>796170</v>
      </c>
      <c r="R14" s="77">
        <v>122988</v>
      </c>
      <c r="S14" s="77">
        <v>35109</v>
      </c>
      <c r="T14" s="77">
        <v>620250</v>
      </c>
      <c r="U14" s="77">
        <v>600</v>
      </c>
      <c r="V14" s="77">
        <v>2290353</v>
      </c>
    </row>
    <row r="15" spans="1:43" ht="20.25" thickBot="1">
      <c r="A15" s="472" t="s">
        <v>49</v>
      </c>
      <c r="B15" s="484">
        <v>2610748</v>
      </c>
      <c r="C15" s="484">
        <v>10613954</v>
      </c>
      <c r="D15" s="484">
        <v>3009783</v>
      </c>
      <c r="E15" s="484">
        <v>1558063</v>
      </c>
      <c r="F15" s="484">
        <v>583586</v>
      </c>
      <c r="G15" s="484">
        <v>3153179</v>
      </c>
      <c r="H15" s="484">
        <v>526507</v>
      </c>
      <c r="I15" s="484">
        <v>9721150</v>
      </c>
      <c r="J15" s="484">
        <v>7157</v>
      </c>
      <c r="K15" s="485">
        <v>31784127</v>
      </c>
      <c r="L15" s="77" t="s">
        <v>708</v>
      </c>
      <c r="M15" s="77">
        <v>2882736</v>
      </c>
      <c r="N15" s="77">
        <v>1020</v>
      </c>
      <c r="O15" s="77">
        <v>2571851</v>
      </c>
      <c r="P15" s="77">
        <v>3267372</v>
      </c>
      <c r="Q15" s="77">
        <v>10026138</v>
      </c>
      <c r="R15" s="77">
        <v>1412042</v>
      </c>
      <c r="S15" s="77">
        <v>536207</v>
      </c>
      <c r="T15" s="77">
        <v>7361541</v>
      </c>
      <c r="U15" s="77">
        <v>34073</v>
      </c>
      <c r="V15" s="77">
        <v>28092980</v>
      </c>
    </row>
    <row r="16" spans="1:43">
      <c r="A16" s="3037" t="s">
        <v>721</v>
      </c>
      <c r="B16" s="3037"/>
      <c r="C16" s="3037"/>
      <c r="D16" s="79"/>
      <c r="M16" s="79">
        <v>271988</v>
      </c>
    </row>
    <row r="17" spans="1:22" ht="12" customHeight="1"/>
    <row r="18" spans="1:22" ht="11.25" customHeight="1">
      <c r="D18" s="79"/>
      <c r="J18" s="79"/>
    </row>
    <row r="19" spans="1:22" ht="8.25" customHeight="1"/>
    <row r="20" spans="1:22" ht="10.5" customHeight="1"/>
    <row r="21" spans="1:22" ht="12" customHeight="1"/>
    <row r="22" spans="1:22" ht="31.5" customHeight="1" thickBot="1">
      <c r="A22" s="3036" t="s">
        <v>722</v>
      </c>
      <c r="B22" s="3036"/>
      <c r="C22" s="3036"/>
      <c r="D22" s="3036"/>
      <c r="E22" s="3036"/>
      <c r="F22" s="3036"/>
      <c r="G22" s="3036"/>
      <c r="H22" s="3036"/>
      <c r="I22" s="3036"/>
      <c r="J22" s="3036"/>
      <c r="K22" s="3036"/>
    </row>
    <row r="23" spans="1:22" ht="51" customHeight="1" thickBot="1">
      <c r="A23" s="472" t="s">
        <v>713</v>
      </c>
      <c r="B23" s="473" t="s">
        <v>78</v>
      </c>
      <c r="C23" s="474" t="s">
        <v>76</v>
      </c>
      <c r="D23" s="475" t="s">
        <v>714</v>
      </c>
      <c r="E23" s="474" t="s">
        <v>84</v>
      </c>
      <c r="F23" s="475" t="s">
        <v>715</v>
      </c>
      <c r="G23" s="475" t="s">
        <v>716</v>
      </c>
      <c r="H23" s="475" t="s">
        <v>73</v>
      </c>
      <c r="I23" s="474" t="s">
        <v>717</v>
      </c>
      <c r="J23" s="476" t="s">
        <v>718</v>
      </c>
      <c r="K23" s="472" t="s">
        <v>49</v>
      </c>
      <c r="L23" s="77" t="s">
        <v>408</v>
      </c>
      <c r="M23" s="77" t="s">
        <v>78</v>
      </c>
      <c r="N23" s="77" t="s">
        <v>719</v>
      </c>
      <c r="O23" s="77" t="s">
        <v>68</v>
      </c>
      <c r="P23" s="77" t="s">
        <v>82</v>
      </c>
      <c r="Q23" s="77" t="s">
        <v>76</v>
      </c>
      <c r="R23" s="77" t="s">
        <v>84</v>
      </c>
      <c r="S23" s="77" t="s">
        <v>72</v>
      </c>
      <c r="T23" s="77" t="s">
        <v>717</v>
      </c>
      <c r="U23" s="77" t="s">
        <v>720</v>
      </c>
      <c r="V23" s="77" t="s">
        <v>708</v>
      </c>
    </row>
    <row r="24" spans="1:22" ht="19.5">
      <c r="A24" s="477" t="s">
        <v>37</v>
      </c>
      <c r="B24" s="478">
        <v>62501.724000000002</v>
      </c>
      <c r="C24" s="478">
        <v>835014.65500000003</v>
      </c>
      <c r="D24" s="478">
        <v>40678.504999999997</v>
      </c>
      <c r="E24" s="478">
        <v>72135.97</v>
      </c>
      <c r="F24" s="478">
        <v>13739.651</v>
      </c>
      <c r="G24" s="478">
        <v>202427.60399999999</v>
      </c>
      <c r="H24" s="478">
        <v>55817.453999999998</v>
      </c>
      <c r="I24" s="478">
        <v>66983.626000000004</v>
      </c>
      <c r="J24" s="478">
        <v>0</v>
      </c>
      <c r="K24" s="481">
        <f>SUM(B24:J24)</f>
        <v>1349299.1889999998</v>
      </c>
      <c r="L24" s="77">
        <v>1</v>
      </c>
      <c r="M24" s="77">
        <v>266982</v>
      </c>
      <c r="O24" s="77">
        <v>228858</v>
      </c>
      <c r="P24" s="77">
        <v>277304</v>
      </c>
      <c r="Q24" s="77">
        <v>855553</v>
      </c>
      <c r="R24" s="77">
        <v>121314</v>
      </c>
      <c r="S24" s="77">
        <v>53817</v>
      </c>
      <c r="T24" s="77">
        <v>556815</v>
      </c>
      <c r="U24" s="77">
        <v>3664</v>
      </c>
      <c r="V24" s="77">
        <v>2364307</v>
      </c>
    </row>
    <row r="25" spans="1:22" ht="19.5">
      <c r="A25" s="482" t="s">
        <v>38</v>
      </c>
      <c r="B25" s="478">
        <v>65713.732999999993</v>
      </c>
      <c r="C25" s="478">
        <v>932472.23499999999</v>
      </c>
      <c r="D25" s="478">
        <v>42110.608999999997</v>
      </c>
      <c r="E25" s="478">
        <v>73135.426999999996</v>
      </c>
      <c r="F25" s="478">
        <v>18792.284</v>
      </c>
      <c r="G25" s="478">
        <v>202850.38800000001</v>
      </c>
      <c r="H25" s="478">
        <v>65693.578999999998</v>
      </c>
      <c r="I25" s="478">
        <v>83464.239000000001</v>
      </c>
      <c r="J25" s="478">
        <v>0</v>
      </c>
      <c r="K25" s="481">
        <f t="shared" ref="K25:K36" si="0">SUM(B25:J25)</f>
        <v>1484232.4939999999</v>
      </c>
      <c r="L25" s="77">
        <v>2</v>
      </c>
      <c r="M25" s="77">
        <v>227536</v>
      </c>
      <c r="O25" s="77">
        <v>205729</v>
      </c>
      <c r="P25" s="77">
        <v>268929</v>
      </c>
      <c r="Q25" s="77">
        <v>727239</v>
      </c>
      <c r="R25" s="77">
        <v>109816</v>
      </c>
      <c r="S25" s="77">
        <v>44959</v>
      </c>
      <c r="T25" s="77">
        <v>668553</v>
      </c>
      <c r="U25" s="77">
        <v>5008</v>
      </c>
      <c r="V25" s="77">
        <v>2257769</v>
      </c>
    </row>
    <row r="26" spans="1:22" ht="19.5">
      <c r="A26" s="482" t="s">
        <v>39</v>
      </c>
      <c r="B26" s="478">
        <v>59488.991999999998</v>
      </c>
      <c r="C26" s="478">
        <v>924413.81</v>
      </c>
      <c r="D26" s="478">
        <v>38370.220999999998</v>
      </c>
      <c r="E26" s="478">
        <v>73846.426999999996</v>
      </c>
      <c r="F26" s="478">
        <v>16670.868999999999</v>
      </c>
      <c r="G26" s="478">
        <v>206030.443</v>
      </c>
      <c r="H26" s="478">
        <v>64638.93</v>
      </c>
      <c r="I26" s="478">
        <v>82698.396999999997</v>
      </c>
      <c r="J26" s="478">
        <v>0</v>
      </c>
      <c r="K26" s="481">
        <f t="shared" si="0"/>
        <v>1466158.0889999997</v>
      </c>
      <c r="L26" s="77">
        <v>3</v>
      </c>
      <c r="M26" s="77">
        <v>205135</v>
      </c>
      <c r="N26" s="77">
        <v>2</v>
      </c>
      <c r="O26" s="77">
        <v>158980</v>
      </c>
      <c r="P26" s="77">
        <v>239120</v>
      </c>
      <c r="Q26" s="77">
        <v>643845</v>
      </c>
      <c r="R26" s="77">
        <v>107980</v>
      </c>
      <c r="S26" s="77">
        <v>40859</v>
      </c>
      <c r="T26" s="77">
        <v>547414</v>
      </c>
      <c r="U26" s="77">
        <v>1774</v>
      </c>
      <c r="V26" s="77">
        <v>1945109</v>
      </c>
    </row>
    <row r="27" spans="1:22" ht="19.5">
      <c r="A27" s="482" t="s">
        <v>40</v>
      </c>
      <c r="B27" s="478">
        <v>54670.506000000001</v>
      </c>
      <c r="C27" s="478">
        <v>918843.67</v>
      </c>
      <c r="D27" s="478">
        <v>39896.370999999999</v>
      </c>
      <c r="E27" s="478">
        <v>75631.267999999996</v>
      </c>
      <c r="F27" s="478">
        <v>13599.141</v>
      </c>
      <c r="G27" s="478">
        <v>176263.77799999999</v>
      </c>
      <c r="H27" s="478">
        <v>34329.531999999999</v>
      </c>
      <c r="I27" s="478">
        <v>76544.095000000001</v>
      </c>
      <c r="J27" s="478">
        <v>0</v>
      </c>
      <c r="K27" s="481">
        <f t="shared" si="0"/>
        <v>1389778.361</v>
      </c>
      <c r="L27" s="77">
        <v>4</v>
      </c>
      <c r="M27" s="77">
        <v>265500</v>
      </c>
      <c r="N27" s="77">
        <v>76</v>
      </c>
      <c r="O27" s="77">
        <v>247091</v>
      </c>
      <c r="P27" s="77">
        <v>289237</v>
      </c>
      <c r="Q27" s="77">
        <v>906355</v>
      </c>
      <c r="R27" s="77">
        <v>128882</v>
      </c>
      <c r="S27" s="77">
        <v>48876</v>
      </c>
      <c r="T27" s="77">
        <v>567222</v>
      </c>
      <c r="U27" s="77">
        <v>3520</v>
      </c>
      <c r="V27" s="77">
        <v>2456759</v>
      </c>
    </row>
    <row r="28" spans="1:22" ht="19.5">
      <c r="A28" s="482" t="s">
        <v>41</v>
      </c>
      <c r="B28" s="478">
        <v>51968.836000000003</v>
      </c>
      <c r="C28" s="478">
        <v>908165.11</v>
      </c>
      <c r="D28" s="478">
        <v>46337.697999999997</v>
      </c>
      <c r="E28" s="478">
        <v>73921.297000000006</v>
      </c>
      <c r="F28" s="478">
        <v>14340.664000000001</v>
      </c>
      <c r="G28" s="478">
        <v>174412.95</v>
      </c>
      <c r="H28" s="478">
        <v>34888.370999999999</v>
      </c>
      <c r="I28" s="478">
        <v>74472.539000000004</v>
      </c>
      <c r="J28" s="478">
        <v>447</v>
      </c>
      <c r="K28" s="481">
        <f t="shared" si="0"/>
        <v>1378954.4650000001</v>
      </c>
      <c r="L28" s="77">
        <v>5</v>
      </c>
      <c r="M28" s="77">
        <v>267625</v>
      </c>
      <c r="N28" s="77">
        <v>165</v>
      </c>
      <c r="O28" s="77">
        <v>260477</v>
      </c>
      <c r="P28" s="77">
        <v>292192</v>
      </c>
      <c r="Q28" s="77">
        <v>1034042</v>
      </c>
      <c r="R28" s="77">
        <v>144614</v>
      </c>
      <c r="S28" s="77">
        <v>49906</v>
      </c>
      <c r="T28" s="77">
        <v>599129</v>
      </c>
      <c r="U28" s="77">
        <v>3672</v>
      </c>
      <c r="V28" s="77">
        <v>2651822</v>
      </c>
    </row>
    <row r="29" spans="1:22" ht="19.5">
      <c r="A29" s="482" t="s">
        <v>42</v>
      </c>
      <c r="B29" s="478">
        <v>64418.595000000001</v>
      </c>
      <c r="C29" s="478">
        <v>907948.55099999998</v>
      </c>
      <c r="D29" s="478">
        <v>108999.66</v>
      </c>
      <c r="E29" s="478">
        <v>67070.479000000007</v>
      </c>
      <c r="F29" s="478">
        <v>17966.512999999999</v>
      </c>
      <c r="G29" s="478">
        <v>180285.68799999999</v>
      </c>
      <c r="H29" s="478">
        <v>46619.733999999997</v>
      </c>
      <c r="I29" s="478">
        <v>80446.047000000006</v>
      </c>
      <c r="J29" s="478">
        <v>1263</v>
      </c>
      <c r="K29" s="481">
        <f t="shared" si="0"/>
        <v>1475018.267</v>
      </c>
      <c r="L29" s="77">
        <v>6</v>
      </c>
      <c r="M29" s="77">
        <v>270030</v>
      </c>
      <c r="N29" s="77">
        <v>222</v>
      </c>
      <c r="O29" s="77">
        <v>228742</v>
      </c>
      <c r="P29" s="77">
        <v>302244</v>
      </c>
      <c r="Q29" s="77">
        <v>1030261</v>
      </c>
      <c r="R29" s="77">
        <v>142238</v>
      </c>
      <c r="S29" s="77">
        <v>55588</v>
      </c>
      <c r="T29" s="77">
        <v>625721</v>
      </c>
      <c r="U29" s="77">
        <v>3596</v>
      </c>
      <c r="V29" s="77">
        <v>2658642</v>
      </c>
    </row>
    <row r="30" spans="1:22" ht="19.5">
      <c r="A30" s="482" t="s">
        <v>43</v>
      </c>
      <c r="B30" s="478">
        <v>54692.457000000002</v>
      </c>
      <c r="C30" s="478">
        <v>936089.75</v>
      </c>
      <c r="D30" s="478">
        <v>37771.978000000003</v>
      </c>
      <c r="E30" s="478">
        <v>62776.582999999999</v>
      </c>
      <c r="F30" s="478">
        <v>14755.226000000001</v>
      </c>
      <c r="G30" s="478">
        <v>185125.65700000001</v>
      </c>
      <c r="H30" s="478">
        <v>34521.506000000001</v>
      </c>
      <c r="I30" s="478">
        <v>75186.464999999997</v>
      </c>
      <c r="J30" s="478">
        <v>141</v>
      </c>
      <c r="K30" s="481">
        <f t="shared" si="0"/>
        <v>1401060.6220000002</v>
      </c>
      <c r="L30" s="77">
        <v>7</v>
      </c>
      <c r="M30" s="77">
        <v>217678</v>
      </c>
      <c r="N30" s="77">
        <v>74</v>
      </c>
      <c r="O30" s="77">
        <v>204106</v>
      </c>
      <c r="P30" s="77">
        <v>254458</v>
      </c>
      <c r="Q30" s="77">
        <v>826918</v>
      </c>
      <c r="R30" s="77">
        <v>105596</v>
      </c>
      <c r="S30" s="77">
        <v>41250</v>
      </c>
      <c r="T30" s="77">
        <v>657225</v>
      </c>
      <c r="U30" s="77">
        <v>3598</v>
      </c>
      <c r="V30" s="77">
        <v>2310903</v>
      </c>
    </row>
    <row r="31" spans="1:22" ht="19.5">
      <c r="A31" s="482" t="s">
        <v>405</v>
      </c>
      <c r="B31" s="478">
        <v>58258.171000000002</v>
      </c>
      <c r="C31" s="478">
        <v>896211.50600000005</v>
      </c>
      <c r="D31" s="478">
        <v>35572.553</v>
      </c>
      <c r="E31" s="478">
        <v>58972.911999999997</v>
      </c>
      <c r="F31" s="478">
        <v>16408.099999999999</v>
      </c>
      <c r="G31" s="478">
        <v>181431.74100000001</v>
      </c>
      <c r="H31" s="478">
        <v>51214.245999999999</v>
      </c>
      <c r="I31" s="478">
        <v>80823.267000000007</v>
      </c>
      <c r="J31" s="478">
        <v>0</v>
      </c>
      <c r="K31" s="481">
        <f t="shared" si="0"/>
        <v>1378892.496</v>
      </c>
      <c r="L31" s="77">
        <v>8</v>
      </c>
      <c r="M31" s="77">
        <v>239764</v>
      </c>
      <c r="N31" s="77">
        <v>67</v>
      </c>
      <c r="O31" s="77">
        <v>243367</v>
      </c>
      <c r="P31" s="77">
        <v>257937</v>
      </c>
      <c r="Q31" s="77">
        <v>841240</v>
      </c>
      <c r="R31" s="77">
        <v>109272</v>
      </c>
      <c r="S31" s="77">
        <v>44888</v>
      </c>
      <c r="T31" s="77">
        <v>667335</v>
      </c>
      <c r="U31" s="77">
        <v>2720</v>
      </c>
      <c r="V31" s="77">
        <v>2406590</v>
      </c>
    </row>
    <row r="32" spans="1:22" ht="19.5">
      <c r="A32" s="482" t="s">
        <v>45</v>
      </c>
      <c r="B32" s="478">
        <v>55301.123</v>
      </c>
      <c r="C32" s="478">
        <v>893623.68599999999</v>
      </c>
      <c r="D32" s="478">
        <v>37451.769</v>
      </c>
      <c r="E32" s="478">
        <v>64064.03</v>
      </c>
      <c r="F32" s="478">
        <v>16380.31</v>
      </c>
      <c r="G32" s="478">
        <v>180829.30600000001</v>
      </c>
      <c r="H32" s="478">
        <v>50261.917000000001</v>
      </c>
      <c r="I32" s="478">
        <v>77561.682000000001</v>
      </c>
      <c r="J32" s="478">
        <v>1249.5</v>
      </c>
      <c r="K32" s="481">
        <f t="shared" si="0"/>
        <v>1376723.3230000001</v>
      </c>
      <c r="L32" s="77">
        <v>9</v>
      </c>
      <c r="M32" s="77">
        <v>239516</v>
      </c>
      <c r="N32" s="77">
        <v>42</v>
      </c>
      <c r="O32" s="77">
        <v>192945</v>
      </c>
      <c r="P32" s="77">
        <v>271182</v>
      </c>
      <c r="Q32" s="77">
        <v>805978</v>
      </c>
      <c r="R32" s="77">
        <v>104390</v>
      </c>
      <c r="S32" s="77">
        <v>39732</v>
      </c>
      <c r="T32" s="77">
        <v>627225</v>
      </c>
      <c r="U32" s="77">
        <v>3154</v>
      </c>
      <c r="V32" s="77">
        <v>2284164</v>
      </c>
    </row>
    <row r="33" spans="1:22" ht="19.5">
      <c r="A33" s="482" t="s">
        <v>406</v>
      </c>
      <c r="B33" s="478">
        <v>50466.987999999998</v>
      </c>
      <c r="C33" s="478">
        <v>857684.65700000001</v>
      </c>
      <c r="D33" s="478">
        <v>40533.796999999999</v>
      </c>
      <c r="E33" s="478">
        <v>61316.205999999998</v>
      </c>
      <c r="F33" s="478">
        <v>14077.179</v>
      </c>
      <c r="G33" s="478">
        <v>188533.399</v>
      </c>
      <c r="H33" s="478">
        <v>31207.731</v>
      </c>
      <c r="I33" s="478">
        <v>76163.152000000002</v>
      </c>
      <c r="J33" s="478">
        <v>1606.5</v>
      </c>
      <c r="K33" s="481">
        <f t="shared" si="0"/>
        <v>1321589.6089999999</v>
      </c>
      <c r="L33" s="77">
        <v>10</v>
      </c>
      <c r="M33" s="77">
        <v>226158</v>
      </c>
      <c r="N33" s="77">
        <v>75</v>
      </c>
      <c r="O33" s="77">
        <v>174006</v>
      </c>
      <c r="P33" s="77">
        <v>258504</v>
      </c>
      <c r="Q33" s="77">
        <v>710386</v>
      </c>
      <c r="R33" s="77">
        <v>95426</v>
      </c>
      <c r="S33" s="77">
        <v>38519</v>
      </c>
      <c r="T33" s="77">
        <v>603605</v>
      </c>
      <c r="U33" s="77">
        <v>1118</v>
      </c>
      <c r="V33" s="77">
        <v>2107797</v>
      </c>
    </row>
    <row r="34" spans="1:22" ht="19.5">
      <c r="A34" s="482" t="s">
        <v>47</v>
      </c>
      <c r="B34" s="478">
        <v>46704.864999999998</v>
      </c>
      <c r="C34" s="478">
        <v>897941.66399999999</v>
      </c>
      <c r="D34" s="478">
        <v>38964.411999999997</v>
      </c>
      <c r="E34" s="478">
        <v>63434.396999999997</v>
      </c>
      <c r="F34" s="478">
        <v>14238.117</v>
      </c>
      <c r="G34" s="478">
        <v>188673.97</v>
      </c>
      <c r="H34" s="478">
        <v>32201.599999999999</v>
      </c>
      <c r="I34" s="478">
        <v>76375.225999999995</v>
      </c>
      <c r="J34" s="478">
        <v>3084</v>
      </c>
      <c r="K34" s="481">
        <f t="shared" si="0"/>
        <v>1361618.2510000002</v>
      </c>
      <c r="L34" s="77">
        <v>11</v>
      </c>
      <c r="M34" s="77">
        <v>238180</v>
      </c>
      <c r="N34" s="77">
        <v>91</v>
      </c>
      <c r="O34" s="77">
        <v>206206</v>
      </c>
      <c r="P34" s="77">
        <v>281211</v>
      </c>
      <c r="Q34" s="77">
        <v>848151</v>
      </c>
      <c r="R34" s="77">
        <v>119526</v>
      </c>
      <c r="S34" s="77">
        <v>42704</v>
      </c>
      <c r="T34" s="77">
        <v>621047</v>
      </c>
      <c r="U34" s="77">
        <v>1649</v>
      </c>
      <c r="V34" s="77">
        <v>2358765</v>
      </c>
    </row>
    <row r="35" spans="1:22" ht="20.25" thickBot="1">
      <c r="A35" s="483" t="s">
        <v>48</v>
      </c>
      <c r="B35" s="478">
        <v>41575.196000000004</v>
      </c>
      <c r="C35" s="478">
        <v>775365.88500000001</v>
      </c>
      <c r="D35" s="478">
        <v>43312.563999999998</v>
      </c>
      <c r="E35" s="478">
        <v>56829.548000000003</v>
      </c>
      <c r="F35" s="478">
        <v>11964.126</v>
      </c>
      <c r="G35" s="478">
        <v>176348.82399999999</v>
      </c>
      <c r="H35" s="478">
        <v>30929.555</v>
      </c>
      <c r="I35" s="478">
        <v>71479.028999999995</v>
      </c>
      <c r="J35" s="478">
        <v>2938.5</v>
      </c>
      <c r="K35" s="481">
        <f t="shared" si="0"/>
        <v>1210743.227</v>
      </c>
      <c r="L35" s="77">
        <v>12</v>
      </c>
      <c r="M35" s="79">
        <v>218632</v>
      </c>
      <c r="N35" s="77">
        <v>206</v>
      </c>
      <c r="O35" s="77">
        <v>221344</v>
      </c>
      <c r="P35" s="77">
        <v>275054</v>
      </c>
      <c r="Q35" s="77">
        <v>796170</v>
      </c>
      <c r="R35" s="77">
        <v>122988</v>
      </c>
      <c r="S35" s="77">
        <v>35109</v>
      </c>
      <c r="T35" s="77">
        <v>620250</v>
      </c>
      <c r="U35" s="77">
        <v>600</v>
      </c>
      <c r="V35" s="77">
        <v>2290353</v>
      </c>
    </row>
    <row r="36" spans="1:22" ht="20.25" thickBot="1">
      <c r="A36" s="472" t="s">
        <v>49</v>
      </c>
      <c r="B36" s="484">
        <f t="shared" ref="B36:G36" si="1">SUM(B24:B35)</f>
        <v>665761.18599999999</v>
      </c>
      <c r="C36" s="484">
        <f t="shared" si="1"/>
        <v>10683775.179000001</v>
      </c>
      <c r="D36" s="484">
        <f t="shared" si="1"/>
        <v>550000.1370000001</v>
      </c>
      <c r="E36" s="484">
        <f t="shared" si="1"/>
        <v>803134.54399999999</v>
      </c>
      <c r="F36" s="484">
        <f t="shared" si="1"/>
        <v>182932.18</v>
      </c>
      <c r="G36" s="484">
        <f t="shared" si="1"/>
        <v>2243213.7479999997</v>
      </c>
      <c r="H36" s="484">
        <f>SUM(H24:H35)</f>
        <v>532324.15500000003</v>
      </c>
      <c r="I36" s="484">
        <f t="shared" ref="I36:J36" si="2">SUM(I24:I35)</f>
        <v>922197.76399999997</v>
      </c>
      <c r="J36" s="484">
        <f t="shared" si="2"/>
        <v>10729.5</v>
      </c>
      <c r="K36" s="484">
        <f t="shared" si="0"/>
        <v>16594068.393000001</v>
      </c>
      <c r="L36" s="77" t="s">
        <v>708</v>
      </c>
      <c r="M36" s="77">
        <v>2882736</v>
      </c>
      <c r="N36" s="77">
        <v>1020</v>
      </c>
      <c r="O36" s="77">
        <v>2571851</v>
      </c>
      <c r="P36" s="77">
        <v>3267372</v>
      </c>
      <c r="Q36" s="77">
        <v>10026138</v>
      </c>
      <c r="R36" s="77">
        <v>1412042</v>
      </c>
      <c r="S36" s="77">
        <v>536207</v>
      </c>
      <c r="T36" s="77">
        <v>7361541</v>
      </c>
      <c r="U36" s="77">
        <v>34073</v>
      </c>
      <c r="V36" s="77">
        <v>28092980</v>
      </c>
    </row>
    <row r="37" spans="1:22">
      <c r="A37" s="3037" t="s">
        <v>721</v>
      </c>
      <c r="B37" s="3037"/>
      <c r="C37" s="3037"/>
      <c r="D37" s="79"/>
      <c r="M37" s="79">
        <v>2216974.8140000002</v>
      </c>
    </row>
  </sheetData>
  <mergeCells count="4">
    <mergeCell ref="A1:K1"/>
    <mergeCell ref="A16:C16"/>
    <mergeCell ref="A22:K22"/>
    <mergeCell ref="A37:C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/>
  </sheetPr>
  <dimension ref="A1:E55"/>
  <sheetViews>
    <sheetView rightToLeft="1" topLeftCell="A23" zoomScale="90" zoomScaleNormal="90" workbookViewId="0">
      <selection sqref="A1:E55"/>
    </sheetView>
  </sheetViews>
  <sheetFormatPr defaultColWidth="10.375" defaultRowHeight="15.75"/>
  <cols>
    <col min="1" max="1" width="27.625" style="77" customWidth="1"/>
    <col min="2" max="2" width="24" style="77" customWidth="1"/>
    <col min="3" max="4" width="21.875" style="77" customWidth="1"/>
    <col min="5" max="5" width="22.75" style="77" customWidth="1"/>
    <col min="6" max="16384" width="10.375" style="77"/>
  </cols>
  <sheetData>
    <row r="1" spans="1:5" ht="24.75" thickBot="1">
      <c r="A1" s="3038" t="s">
        <v>723</v>
      </c>
      <c r="B1" s="3038"/>
      <c r="C1" s="3038"/>
      <c r="D1" s="3038"/>
      <c r="E1" s="3038"/>
    </row>
    <row r="2" spans="1:5" ht="42" customHeight="1" thickBot="1">
      <c r="A2" s="486" t="s">
        <v>724</v>
      </c>
      <c r="B2" s="476" t="s">
        <v>725</v>
      </c>
      <c r="C2" s="486" t="s">
        <v>726</v>
      </c>
      <c r="D2" s="487" t="s">
        <v>718</v>
      </c>
      <c r="E2" s="488" t="s">
        <v>49</v>
      </c>
    </row>
    <row r="3" spans="1:5" ht="22.5">
      <c r="A3" s="477" t="s">
        <v>68</v>
      </c>
      <c r="B3" s="489">
        <v>747631</v>
      </c>
      <c r="C3" s="490">
        <v>784993</v>
      </c>
      <c r="D3" s="491">
        <v>3216</v>
      </c>
      <c r="E3" s="492">
        <v>1535840</v>
      </c>
    </row>
    <row r="4" spans="1:5" ht="22.5">
      <c r="A4" s="482" t="s">
        <v>69</v>
      </c>
      <c r="B4" s="493">
        <v>99759</v>
      </c>
      <c r="C4" s="494">
        <v>168363</v>
      </c>
      <c r="D4" s="491" t="s">
        <v>2017</v>
      </c>
      <c r="E4" s="492">
        <v>268122</v>
      </c>
    </row>
    <row r="5" spans="1:5" ht="22.5">
      <c r="A5" s="482" t="s">
        <v>70</v>
      </c>
      <c r="B5" s="493">
        <v>474367</v>
      </c>
      <c r="C5" s="495" t="s">
        <v>2017</v>
      </c>
      <c r="D5" s="491" t="s">
        <v>2017</v>
      </c>
      <c r="E5" s="492">
        <v>474367</v>
      </c>
    </row>
    <row r="6" spans="1:5" ht="22.5">
      <c r="A6" s="482" t="s">
        <v>71</v>
      </c>
      <c r="B6" s="493">
        <v>5175877</v>
      </c>
      <c r="C6" s="494">
        <v>5707260</v>
      </c>
      <c r="D6" s="491">
        <v>3941</v>
      </c>
      <c r="E6" s="492">
        <v>10887078</v>
      </c>
    </row>
    <row r="7" spans="1:5" ht="22.5">
      <c r="A7" s="482" t="s">
        <v>72</v>
      </c>
      <c r="B7" s="493">
        <v>268628</v>
      </c>
      <c r="C7" s="494">
        <v>559920</v>
      </c>
      <c r="D7" s="491" t="s">
        <v>2017</v>
      </c>
      <c r="E7" s="492">
        <v>828548</v>
      </c>
    </row>
    <row r="8" spans="1:5" ht="22.5">
      <c r="A8" s="482" t="s">
        <v>73</v>
      </c>
      <c r="B8" s="493">
        <v>676363</v>
      </c>
      <c r="C8" s="494">
        <v>290807</v>
      </c>
      <c r="D8" s="491" t="s">
        <v>2017</v>
      </c>
      <c r="E8" s="492">
        <v>967170</v>
      </c>
    </row>
    <row r="9" spans="1:5" ht="22.5">
      <c r="A9" s="482" t="s">
        <v>483</v>
      </c>
      <c r="B9" s="493">
        <v>433968</v>
      </c>
      <c r="C9" s="495" t="s">
        <v>2017</v>
      </c>
      <c r="D9" s="491" t="s">
        <v>2017</v>
      </c>
      <c r="E9" s="492">
        <v>433968</v>
      </c>
    </row>
    <row r="10" spans="1:5" ht="22.5">
      <c r="A10" s="482" t="s">
        <v>401</v>
      </c>
      <c r="B10" s="493">
        <v>97586</v>
      </c>
      <c r="C10" s="494">
        <v>316548</v>
      </c>
      <c r="D10" s="491" t="s">
        <v>2017</v>
      </c>
      <c r="E10" s="492">
        <v>414134</v>
      </c>
    </row>
    <row r="11" spans="1:5" ht="22.5">
      <c r="A11" s="482" t="s">
        <v>76</v>
      </c>
      <c r="B11" s="493">
        <v>8107161</v>
      </c>
      <c r="C11" s="494">
        <v>311168</v>
      </c>
      <c r="D11" s="491" t="s">
        <v>2017</v>
      </c>
      <c r="E11" s="492">
        <v>8418329</v>
      </c>
    </row>
    <row r="12" spans="1:5" ht="22.5">
      <c r="A12" s="482" t="s">
        <v>77</v>
      </c>
      <c r="B12" s="493">
        <v>771162</v>
      </c>
      <c r="C12" s="494">
        <v>70378</v>
      </c>
      <c r="D12" s="491" t="s">
        <v>2017</v>
      </c>
      <c r="E12" s="492">
        <v>841540</v>
      </c>
    </row>
    <row r="13" spans="1:5" ht="22.5">
      <c r="A13" s="482" t="s">
        <v>78</v>
      </c>
      <c r="B13" s="496">
        <v>842223</v>
      </c>
      <c r="C13" s="494">
        <v>522919</v>
      </c>
      <c r="D13" s="491" t="s">
        <v>2017</v>
      </c>
      <c r="E13" s="492">
        <v>1365142</v>
      </c>
    </row>
    <row r="14" spans="1:5" ht="22.5">
      <c r="A14" s="482" t="s">
        <v>79</v>
      </c>
      <c r="B14" s="496">
        <v>858972</v>
      </c>
      <c r="C14" s="495" t="s">
        <v>2017</v>
      </c>
      <c r="D14" s="491" t="s">
        <v>2017</v>
      </c>
      <c r="E14" s="492">
        <v>858972</v>
      </c>
    </row>
    <row r="15" spans="1:5" ht="22.5">
      <c r="A15" s="482" t="s">
        <v>402</v>
      </c>
      <c r="B15" s="496">
        <v>490320</v>
      </c>
      <c r="C15" s="495" t="s">
        <v>2017</v>
      </c>
      <c r="D15" s="491" t="s">
        <v>2017</v>
      </c>
      <c r="E15" s="492">
        <v>490320</v>
      </c>
    </row>
    <row r="16" spans="1:5" ht="22.5">
      <c r="A16" s="482" t="s">
        <v>81</v>
      </c>
      <c r="B16" s="496">
        <v>570498</v>
      </c>
      <c r="C16" s="495" t="s">
        <v>2017</v>
      </c>
      <c r="D16" s="491" t="s">
        <v>2017</v>
      </c>
      <c r="E16" s="492">
        <v>570498</v>
      </c>
    </row>
    <row r="17" spans="1:5" ht="22.5">
      <c r="A17" s="482" t="s">
        <v>82</v>
      </c>
      <c r="B17" s="496">
        <v>142663</v>
      </c>
      <c r="C17" s="495">
        <v>66609</v>
      </c>
      <c r="D17" s="491" t="s">
        <v>2017</v>
      </c>
      <c r="E17" s="492">
        <v>209272</v>
      </c>
    </row>
    <row r="18" spans="1:5" ht="22.5">
      <c r="A18" s="482" t="s">
        <v>83</v>
      </c>
      <c r="B18" s="496">
        <v>531122</v>
      </c>
      <c r="C18" s="495" t="s">
        <v>2017</v>
      </c>
      <c r="D18" s="491" t="s">
        <v>2017</v>
      </c>
      <c r="E18" s="492">
        <v>531122</v>
      </c>
    </row>
    <row r="19" spans="1:5" ht="22.5">
      <c r="A19" s="482" t="s">
        <v>84</v>
      </c>
      <c r="B19" s="496">
        <v>202540</v>
      </c>
      <c r="C19" s="495" t="s">
        <v>2017</v>
      </c>
      <c r="D19" s="491" t="s">
        <v>2017</v>
      </c>
      <c r="E19" s="492">
        <v>202540</v>
      </c>
    </row>
    <row r="20" spans="1:5" ht="22.5">
      <c r="A20" s="482" t="s">
        <v>85</v>
      </c>
      <c r="B20" s="489">
        <v>282085</v>
      </c>
      <c r="C20" s="495" t="s">
        <v>2017</v>
      </c>
      <c r="D20" s="491" t="s">
        <v>2017</v>
      </c>
      <c r="E20" s="492">
        <v>282085</v>
      </c>
    </row>
    <row r="21" spans="1:5" ht="22.5">
      <c r="A21" s="482" t="s">
        <v>87</v>
      </c>
      <c r="B21" s="489">
        <v>947319</v>
      </c>
      <c r="C21" s="497">
        <v>593326</v>
      </c>
      <c r="D21" s="491" t="s">
        <v>2017</v>
      </c>
      <c r="E21" s="492">
        <v>1540645</v>
      </c>
    </row>
    <row r="22" spans="1:5" ht="22.5">
      <c r="A22" s="482" t="s">
        <v>88</v>
      </c>
      <c r="B22" s="489">
        <v>280909</v>
      </c>
      <c r="C22" s="495" t="s">
        <v>2017</v>
      </c>
      <c r="D22" s="491" t="s">
        <v>2017</v>
      </c>
      <c r="E22" s="492">
        <v>280909</v>
      </c>
    </row>
    <row r="23" spans="1:5" ht="23.25" thickBot="1">
      <c r="A23" s="482" t="s">
        <v>683</v>
      </c>
      <c r="B23" s="489">
        <v>54667</v>
      </c>
      <c r="C23" s="498">
        <v>328859</v>
      </c>
      <c r="D23" s="491" t="s">
        <v>2017</v>
      </c>
      <c r="E23" s="492">
        <v>383526</v>
      </c>
    </row>
    <row r="24" spans="1:5" ht="23.25" thickBot="1">
      <c r="A24" s="499" t="s">
        <v>49</v>
      </c>
      <c r="B24" s="500">
        <v>22055820</v>
      </c>
      <c r="C24" s="501">
        <v>9721150</v>
      </c>
      <c r="D24" s="502">
        <v>7157</v>
      </c>
      <c r="E24" s="503">
        <v>31784127</v>
      </c>
    </row>
    <row r="25" spans="1:5" ht="23.25" customHeight="1">
      <c r="A25" s="3026" t="s">
        <v>721</v>
      </c>
      <c r="B25" s="3026"/>
      <c r="C25" s="3026"/>
      <c r="D25" s="504"/>
      <c r="E25" s="505"/>
    </row>
    <row r="26" spans="1:5" ht="4.5" customHeight="1"/>
    <row r="27" spans="1:5" ht="4.5" customHeight="1"/>
    <row r="28" spans="1:5" ht="4.5" customHeight="1"/>
    <row r="29" spans="1:5" ht="4.5" customHeight="1"/>
    <row r="30" spans="1:5" ht="4.5" customHeight="1"/>
    <row r="31" spans="1:5" ht="22.5" thickBot="1">
      <c r="A31" s="3039" t="s">
        <v>727</v>
      </c>
      <c r="B31" s="3039"/>
      <c r="C31" s="3039"/>
      <c r="D31" s="3039"/>
      <c r="E31" s="3039"/>
    </row>
    <row r="32" spans="1:5" ht="42" customHeight="1" thickBot="1">
      <c r="A32" s="486" t="s">
        <v>724</v>
      </c>
      <c r="B32" s="476" t="s">
        <v>725</v>
      </c>
      <c r="C32" s="486" t="s">
        <v>726</v>
      </c>
      <c r="D32" s="487" t="s">
        <v>718</v>
      </c>
      <c r="E32" s="488" t="s">
        <v>49</v>
      </c>
    </row>
    <row r="33" spans="1:5" ht="22.5">
      <c r="A33" s="482" t="s">
        <v>68</v>
      </c>
      <c r="B33" s="489">
        <v>619441.26</v>
      </c>
      <c r="C33" s="495">
        <v>61956.277000000002</v>
      </c>
      <c r="D33" s="491">
        <v>4818</v>
      </c>
      <c r="E33" s="492">
        <v>686215.53700000001</v>
      </c>
    </row>
    <row r="34" spans="1:5" ht="22.5">
      <c r="A34" s="482" t="s">
        <v>69</v>
      </c>
      <c r="B34" s="489">
        <v>43348.048999999999</v>
      </c>
      <c r="C34" s="495">
        <v>18397.965</v>
      </c>
      <c r="D34" s="491">
        <v>0</v>
      </c>
      <c r="E34" s="492">
        <v>61746.013999999996</v>
      </c>
    </row>
    <row r="35" spans="1:5" ht="22.5">
      <c r="A35" s="482" t="s">
        <v>70</v>
      </c>
      <c r="B35" s="489">
        <v>309851.34100000001</v>
      </c>
      <c r="C35" s="495">
        <v>0</v>
      </c>
      <c r="D35" s="491">
        <v>0</v>
      </c>
      <c r="E35" s="492">
        <v>309851.34100000001</v>
      </c>
    </row>
    <row r="36" spans="1:5" ht="22.5">
      <c r="A36" s="482" t="s">
        <v>71</v>
      </c>
      <c r="B36" s="489">
        <v>4101463.4479999999</v>
      </c>
      <c r="C36" s="495">
        <v>452498.23300000001</v>
      </c>
      <c r="D36" s="491">
        <v>5911.5</v>
      </c>
      <c r="E36" s="492">
        <v>4559873.1809999999</v>
      </c>
    </row>
    <row r="37" spans="1:5" ht="22.5">
      <c r="A37" s="482" t="s">
        <v>72</v>
      </c>
      <c r="B37" s="489">
        <v>120288.86599999999</v>
      </c>
      <c r="C37" s="495">
        <v>74822.817999999999</v>
      </c>
      <c r="D37" s="491">
        <v>0</v>
      </c>
      <c r="E37" s="492">
        <v>195111.68400000001</v>
      </c>
    </row>
    <row r="38" spans="1:5" ht="22.5">
      <c r="A38" s="482" t="s">
        <v>73</v>
      </c>
      <c r="B38" s="489">
        <v>327238.712</v>
      </c>
      <c r="C38" s="495">
        <v>38850.281999999999</v>
      </c>
      <c r="D38" s="491">
        <v>0</v>
      </c>
      <c r="E38" s="492">
        <v>366088.99400000001</v>
      </c>
    </row>
    <row r="39" spans="1:5" ht="22.5">
      <c r="A39" s="482" t="s">
        <v>483</v>
      </c>
      <c r="B39" s="489">
        <v>189572.28200000001</v>
      </c>
      <c r="C39" s="495">
        <v>0</v>
      </c>
      <c r="D39" s="491">
        <v>0</v>
      </c>
      <c r="E39" s="492">
        <v>189572.28200000001</v>
      </c>
    </row>
    <row r="40" spans="1:5" ht="22.5">
      <c r="A40" s="482" t="s">
        <v>401</v>
      </c>
      <c r="B40" s="489">
        <v>48052.921000000002</v>
      </c>
      <c r="C40" s="495">
        <v>17726.687999999998</v>
      </c>
      <c r="D40" s="491">
        <v>0</v>
      </c>
      <c r="E40" s="492">
        <v>65779.608999999997</v>
      </c>
    </row>
    <row r="41" spans="1:5" ht="22.5">
      <c r="A41" s="482" t="s">
        <v>76</v>
      </c>
      <c r="B41" s="489">
        <v>5821966.4759999998</v>
      </c>
      <c r="C41" s="495">
        <v>56943.743999999999</v>
      </c>
      <c r="D41" s="491">
        <v>0</v>
      </c>
      <c r="E41" s="492">
        <v>5878910.2199999997</v>
      </c>
    </row>
    <row r="42" spans="1:5" ht="22.5">
      <c r="A42" s="482" t="s">
        <v>77</v>
      </c>
      <c r="B42" s="489">
        <v>352382.03700000001</v>
      </c>
      <c r="C42" s="495">
        <v>9993.4989999999998</v>
      </c>
      <c r="D42" s="491">
        <v>0</v>
      </c>
      <c r="E42" s="492">
        <v>362375.53600000002</v>
      </c>
    </row>
    <row r="43" spans="1:5" ht="22.5">
      <c r="A43" s="482" t="s">
        <v>78</v>
      </c>
      <c r="B43" s="489">
        <v>622437.65500000003</v>
      </c>
      <c r="C43" s="495">
        <v>41305.783000000003</v>
      </c>
      <c r="D43" s="491">
        <v>0</v>
      </c>
      <c r="E43" s="492">
        <v>663743.43800000008</v>
      </c>
    </row>
    <row r="44" spans="1:5" ht="22.5">
      <c r="A44" s="482" t="s">
        <v>79</v>
      </c>
      <c r="B44" s="489">
        <v>608302.22400000005</v>
      </c>
      <c r="C44" s="495">
        <v>0</v>
      </c>
      <c r="D44" s="491">
        <v>0</v>
      </c>
      <c r="E44" s="492">
        <v>608302.22400000005</v>
      </c>
    </row>
    <row r="45" spans="1:5" ht="22.5">
      <c r="A45" s="482" t="s">
        <v>402</v>
      </c>
      <c r="B45" s="489">
        <v>264565.36099999998</v>
      </c>
      <c r="C45" s="495">
        <v>0</v>
      </c>
      <c r="D45" s="491">
        <v>0</v>
      </c>
      <c r="E45" s="492">
        <v>264565.36099999998</v>
      </c>
    </row>
    <row r="46" spans="1:5" ht="22.5">
      <c r="A46" s="482" t="s">
        <v>81</v>
      </c>
      <c r="B46" s="489">
        <v>392752.30900000001</v>
      </c>
      <c r="C46" s="495">
        <v>0</v>
      </c>
      <c r="D46" s="491">
        <v>0</v>
      </c>
      <c r="E46" s="492">
        <v>392752.30900000001</v>
      </c>
    </row>
    <row r="47" spans="1:5" ht="22.5">
      <c r="A47" s="482" t="s">
        <v>82</v>
      </c>
      <c r="B47" s="489">
        <v>196359.75700000001</v>
      </c>
      <c r="C47" s="495">
        <v>7393.5990000000002</v>
      </c>
      <c r="D47" s="491">
        <v>0</v>
      </c>
      <c r="E47" s="492">
        <v>203753.356</v>
      </c>
    </row>
    <row r="48" spans="1:5" ht="22.5">
      <c r="A48" s="482" t="s">
        <v>83</v>
      </c>
      <c r="B48" s="489">
        <v>542584.799</v>
      </c>
      <c r="C48" s="495">
        <v>0</v>
      </c>
      <c r="D48" s="491">
        <v>0</v>
      </c>
      <c r="E48" s="492">
        <v>542584.799</v>
      </c>
    </row>
    <row r="49" spans="1:5" ht="22.5">
      <c r="A49" s="482" t="s">
        <v>84</v>
      </c>
      <c r="B49" s="489">
        <v>102189.97900000001</v>
      </c>
      <c r="C49" s="495">
        <v>0</v>
      </c>
      <c r="D49" s="491">
        <v>0</v>
      </c>
      <c r="E49" s="492">
        <v>102189.97900000001</v>
      </c>
    </row>
    <row r="50" spans="1:5" ht="22.5">
      <c r="A50" s="482" t="s">
        <v>85</v>
      </c>
      <c r="B50" s="489">
        <v>273307.79499999998</v>
      </c>
      <c r="C50" s="495">
        <v>0</v>
      </c>
      <c r="D50" s="491">
        <v>0</v>
      </c>
      <c r="E50" s="492">
        <v>273307.79499999998</v>
      </c>
    </row>
    <row r="51" spans="1:5" ht="22.5">
      <c r="A51" s="482" t="s">
        <v>87</v>
      </c>
      <c r="B51" s="489">
        <v>522330.35499999998</v>
      </c>
      <c r="C51" s="495">
        <v>106544.181</v>
      </c>
      <c r="D51" s="491">
        <v>0</v>
      </c>
      <c r="E51" s="492">
        <v>628874.53599999996</v>
      </c>
    </row>
    <row r="52" spans="1:5" ht="23.25" thickBot="1">
      <c r="A52" s="482" t="s">
        <v>88</v>
      </c>
      <c r="B52" s="489">
        <v>161454.36499999999</v>
      </c>
      <c r="C52" s="495">
        <v>0</v>
      </c>
      <c r="D52" s="491">
        <v>0</v>
      </c>
      <c r="E52" s="492">
        <v>161454.36499999999</v>
      </c>
    </row>
    <row r="53" spans="1:5" ht="23.25" thickBot="1">
      <c r="A53" s="506" t="s">
        <v>683</v>
      </c>
      <c r="B53" s="501">
        <v>41251.137999999999</v>
      </c>
      <c r="C53" s="501">
        <v>35764.695</v>
      </c>
      <c r="D53" s="501">
        <v>0</v>
      </c>
      <c r="E53" s="501">
        <v>77015.832999999999</v>
      </c>
    </row>
    <row r="54" spans="1:5" ht="23.25" thickBot="1">
      <c r="A54" s="499" t="s">
        <v>49</v>
      </c>
      <c r="B54" s="507">
        <v>15661141.129000001</v>
      </c>
      <c r="C54" s="508">
        <v>922197.76399999985</v>
      </c>
      <c r="D54" s="509">
        <v>10729.5</v>
      </c>
      <c r="E54" s="510">
        <v>16594068.393000001</v>
      </c>
    </row>
    <row r="55" spans="1:5" ht="24">
      <c r="A55" s="3026" t="s">
        <v>721</v>
      </c>
      <c r="B55" s="3026"/>
      <c r="C55" s="3026"/>
      <c r="D55" s="504"/>
      <c r="E55" s="505"/>
    </row>
  </sheetData>
  <mergeCells count="4">
    <mergeCell ref="A1:E1"/>
    <mergeCell ref="A25:C25"/>
    <mergeCell ref="A31:E31"/>
    <mergeCell ref="A55:C5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5" fitToHeight="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W34"/>
  <sheetViews>
    <sheetView rightToLeft="1" topLeftCell="A24" workbookViewId="0">
      <selection activeCell="A2" sqref="A2:K34"/>
    </sheetView>
  </sheetViews>
  <sheetFormatPr defaultColWidth="10.125" defaultRowHeight="14.25"/>
  <cols>
    <col min="1" max="1" width="10.625" style="512" customWidth="1"/>
    <col min="2" max="2" width="11.625" style="512" customWidth="1"/>
    <col min="3" max="3" width="11.5" style="512" customWidth="1"/>
    <col min="4" max="4" width="11.375" style="512" customWidth="1"/>
    <col min="5" max="5" width="11.75" style="512" customWidth="1"/>
    <col min="6" max="6" width="11.875" style="512" customWidth="1"/>
    <col min="7" max="7" width="12.375" style="512" customWidth="1"/>
    <col min="8" max="8" width="11.5" style="512" customWidth="1"/>
    <col min="9" max="9" width="14" style="512" customWidth="1"/>
    <col min="10" max="10" width="12.125" style="512" customWidth="1"/>
    <col min="11" max="11" width="13.875" style="512" customWidth="1"/>
    <col min="12" max="16384" width="10.125" style="512"/>
  </cols>
  <sheetData>
    <row r="1" spans="1:11" ht="18.75">
      <c r="A1" s="511"/>
    </row>
    <row r="2" spans="1:11" s="513" customFormat="1" ht="24.75" thickBot="1">
      <c r="A2" s="3040" t="s">
        <v>728</v>
      </c>
      <c r="B2" s="3040"/>
      <c r="C2" s="3040"/>
      <c r="D2" s="3040"/>
      <c r="E2" s="3040"/>
      <c r="F2" s="3040"/>
      <c r="G2" s="3040"/>
      <c r="H2" s="3040"/>
      <c r="I2" s="3040"/>
      <c r="J2" s="3040"/>
      <c r="K2" s="3040"/>
    </row>
    <row r="3" spans="1:11" ht="42">
      <c r="A3" s="2736" t="s">
        <v>729</v>
      </c>
      <c r="B3" s="2737" t="s">
        <v>78</v>
      </c>
      <c r="C3" s="2737" t="s">
        <v>76</v>
      </c>
      <c r="D3" s="2738" t="s">
        <v>730</v>
      </c>
      <c r="E3" s="2737" t="s">
        <v>84</v>
      </c>
      <c r="F3" s="2738" t="s">
        <v>731</v>
      </c>
      <c r="G3" s="2738" t="s">
        <v>732</v>
      </c>
      <c r="H3" s="2737" t="s">
        <v>73</v>
      </c>
      <c r="I3" s="2737" t="s">
        <v>733</v>
      </c>
      <c r="J3" s="2739" t="s">
        <v>734</v>
      </c>
      <c r="K3" s="2740" t="s">
        <v>49</v>
      </c>
    </row>
    <row r="4" spans="1:11" ht="26.25" customHeight="1">
      <c r="A4" s="2741" t="s">
        <v>409</v>
      </c>
      <c r="B4" s="516">
        <v>264575</v>
      </c>
      <c r="C4" s="516">
        <v>976332</v>
      </c>
      <c r="D4" s="516">
        <v>257870</v>
      </c>
      <c r="E4" s="516">
        <v>152495</v>
      </c>
      <c r="F4" s="516">
        <v>61358</v>
      </c>
      <c r="G4" s="516">
        <v>312788</v>
      </c>
      <c r="H4" s="516">
        <v>63483</v>
      </c>
      <c r="I4" s="516">
        <v>1120624</v>
      </c>
      <c r="J4" s="516">
        <v>0</v>
      </c>
      <c r="K4" s="2742">
        <f t="shared" ref="K4:K15" si="0">SUM(B4:J4)</f>
        <v>3209525</v>
      </c>
    </row>
    <row r="5" spans="1:11" ht="26.25" customHeight="1">
      <c r="A5" s="2741" t="s">
        <v>410</v>
      </c>
      <c r="B5" s="516">
        <v>243798</v>
      </c>
      <c r="C5" s="516">
        <v>958221</v>
      </c>
      <c r="D5" s="516">
        <v>247144</v>
      </c>
      <c r="E5" s="516">
        <v>145271</v>
      </c>
      <c r="F5" s="516">
        <v>60724</v>
      </c>
      <c r="G5" s="516">
        <v>285048</v>
      </c>
      <c r="H5" s="516">
        <v>62987</v>
      </c>
      <c r="I5" s="516">
        <v>1205284</v>
      </c>
      <c r="J5" s="516">
        <v>0</v>
      </c>
      <c r="K5" s="2742">
        <f t="shared" si="0"/>
        <v>3208477</v>
      </c>
    </row>
    <row r="6" spans="1:11" ht="26.25" customHeight="1">
      <c r="A6" s="2741" t="s">
        <v>39</v>
      </c>
      <c r="B6" s="516">
        <v>222030</v>
      </c>
      <c r="C6" s="516">
        <v>940107</v>
      </c>
      <c r="D6" s="516">
        <v>238328</v>
      </c>
      <c r="E6" s="516">
        <v>146007</v>
      </c>
      <c r="F6" s="516">
        <v>56014</v>
      </c>
      <c r="G6" s="516">
        <v>287988</v>
      </c>
      <c r="H6" s="516">
        <v>61539</v>
      </c>
      <c r="I6" s="516">
        <v>1212864</v>
      </c>
      <c r="J6" s="516">
        <v>0</v>
      </c>
      <c r="K6" s="2742">
        <f t="shared" si="0"/>
        <v>3164877</v>
      </c>
    </row>
    <row r="7" spans="1:11" ht="26.25" customHeight="1">
      <c r="A7" s="2741" t="s">
        <v>411</v>
      </c>
      <c r="B7" s="516">
        <v>226390</v>
      </c>
      <c r="C7" s="516">
        <v>897841</v>
      </c>
      <c r="D7" s="516">
        <v>235104</v>
      </c>
      <c r="E7" s="516">
        <v>147999</v>
      </c>
      <c r="F7" s="516">
        <v>41526</v>
      </c>
      <c r="G7" s="516">
        <v>248312</v>
      </c>
      <c r="H7" s="516">
        <v>34943</v>
      </c>
      <c r="I7" s="516">
        <v>1003832</v>
      </c>
      <c r="J7" s="516">
        <v>0</v>
      </c>
      <c r="K7" s="2742">
        <f t="shared" si="0"/>
        <v>2835947</v>
      </c>
    </row>
    <row r="8" spans="1:11" ht="26.25" customHeight="1">
      <c r="A8" s="2741" t="s">
        <v>41</v>
      </c>
      <c r="B8" s="516">
        <v>228436</v>
      </c>
      <c r="C8" s="516">
        <v>890567</v>
      </c>
      <c r="D8" s="516">
        <v>246128</v>
      </c>
      <c r="E8" s="516">
        <v>148087</v>
      </c>
      <c r="F8" s="516">
        <v>48048</v>
      </c>
      <c r="G8" s="516">
        <v>250772</v>
      </c>
      <c r="H8" s="516">
        <v>34895</v>
      </c>
      <c r="I8" s="516">
        <v>945960</v>
      </c>
      <c r="J8" s="516">
        <v>800</v>
      </c>
      <c r="K8" s="2742">
        <f t="shared" si="0"/>
        <v>2793693</v>
      </c>
    </row>
    <row r="9" spans="1:11" ht="26.25" customHeight="1">
      <c r="A9" s="2741" t="s">
        <v>412</v>
      </c>
      <c r="B9" s="516">
        <v>229568</v>
      </c>
      <c r="C9" s="516">
        <v>881295</v>
      </c>
      <c r="D9" s="516">
        <v>347080</v>
      </c>
      <c r="E9" s="516">
        <v>129719</v>
      </c>
      <c r="F9" s="516">
        <v>52384</v>
      </c>
      <c r="G9" s="516">
        <v>257420</v>
      </c>
      <c r="H9" s="516">
        <v>45279</v>
      </c>
      <c r="I9" s="516">
        <v>1194788</v>
      </c>
      <c r="J9" s="516">
        <v>19512</v>
      </c>
      <c r="K9" s="2742">
        <f t="shared" si="0"/>
        <v>3157045</v>
      </c>
    </row>
    <row r="10" spans="1:11" ht="26.25" customHeight="1">
      <c r="A10" s="2741" t="s">
        <v>43</v>
      </c>
      <c r="B10" s="516">
        <v>240530</v>
      </c>
      <c r="C10" s="516">
        <v>902775</v>
      </c>
      <c r="D10" s="516">
        <v>252736</v>
      </c>
      <c r="E10" s="516">
        <v>118703</v>
      </c>
      <c r="F10" s="516">
        <v>44628</v>
      </c>
      <c r="G10" s="516">
        <v>255646</v>
      </c>
      <c r="H10" s="516">
        <v>34583</v>
      </c>
      <c r="I10" s="516">
        <v>1095768</v>
      </c>
      <c r="J10" s="516">
        <v>360</v>
      </c>
      <c r="K10" s="2742">
        <f t="shared" si="0"/>
        <v>2945729</v>
      </c>
    </row>
    <row r="11" spans="1:11" ht="26.25" customHeight="1">
      <c r="A11" s="2741" t="s">
        <v>405</v>
      </c>
      <c r="B11" s="516">
        <v>241704</v>
      </c>
      <c r="C11" s="516">
        <v>883387</v>
      </c>
      <c r="D11" s="516">
        <v>257376</v>
      </c>
      <c r="E11" s="516">
        <v>113367</v>
      </c>
      <c r="F11" s="516">
        <v>47284</v>
      </c>
      <c r="G11" s="516">
        <v>251940</v>
      </c>
      <c r="H11" s="516">
        <v>49063</v>
      </c>
      <c r="I11" s="516">
        <v>1153392</v>
      </c>
      <c r="J11" s="516">
        <v>0</v>
      </c>
      <c r="K11" s="2742">
        <f t="shared" si="0"/>
        <v>2997513</v>
      </c>
    </row>
    <row r="12" spans="1:11" ht="26.25" customHeight="1">
      <c r="A12" s="2741" t="s">
        <v>45</v>
      </c>
      <c r="B12" s="516">
        <v>223874</v>
      </c>
      <c r="C12" s="516">
        <v>903530</v>
      </c>
      <c r="D12" s="516">
        <v>260040</v>
      </c>
      <c r="E12" s="516">
        <v>124271</v>
      </c>
      <c r="F12" s="516">
        <v>48232</v>
      </c>
      <c r="G12" s="516">
        <v>250887</v>
      </c>
      <c r="H12" s="516">
        <v>49103</v>
      </c>
      <c r="I12" s="516">
        <v>1137536</v>
      </c>
      <c r="J12" s="516">
        <v>4000</v>
      </c>
      <c r="K12" s="2742">
        <f t="shared" si="0"/>
        <v>3001473</v>
      </c>
    </row>
    <row r="13" spans="1:11" ht="26.25" customHeight="1">
      <c r="A13" s="2741" t="s">
        <v>413</v>
      </c>
      <c r="B13" s="516">
        <v>209790</v>
      </c>
      <c r="C13" s="516">
        <v>884883</v>
      </c>
      <c r="D13" s="516">
        <v>261424</v>
      </c>
      <c r="E13" s="516">
        <v>123239</v>
      </c>
      <c r="F13" s="516">
        <v>44336</v>
      </c>
      <c r="G13" s="516">
        <v>258152</v>
      </c>
      <c r="H13" s="516">
        <v>35295</v>
      </c>
      <c r="I13" s="516">
        <v>1136616</v>
      </c>
      <c r="J13" s="516">
        <v>6840</v>
      </c>
      <c r="K13" s="2742">
        <f t="shared" si="0"/>
        <v>2960575</v>
      </c>
    </row>
    <row r="14" spans="1:11" ht="26.25" customHeight="1">
      <c r="A14" s="2741" t="s">
        <v>47</v>
      </c>
      <c r="B14" s="516">
        <v>200650</v>
      </c>
      <c r="C14" s="516">
        <v>885953</v>
      </c>
      <c r="D14" s="516">
        <v>260152</v>
      </c>
      <c r="E14" s="516">
        <v>122223</v>
      </c>
      <c r="F14" s="516">
        <v>45168</v>
      </c>
      <c r="G14" s="516">
        <v>274530</v>
      </c>
      <c r="H14" s="516">
        <v>33943</v>
      </c>
      <c r="I14" s="516">
        <v>1100328</v>
      </c>
      <c r="J14" s="516">
        <v>6120</v>
      </c>
      <c r="K14" s="2742">
        <f t="shared" si="0"/>
        <v>2929067</v>
      </c>
    </row>
    <row r="15" spans="1:11" ht="26.25" customHeight="1">
      <c r="A15" s="2741" t="s">
        <v>48</v>
      </c>
      <c r="B15" s="516">
        <v>187844</v>
      </c>
      <c r="C15" s="516">
        <v>821337</v>
      </c>
      <c r="D15" s="516">
        <v>261860</v>
      </c>
      <c r="E15" s="516">
        <v>115591</v>
      </c>
      <c r="F15" s="516">
        <v>41948</v>
      </c>
      <c r="G15" s="516">
        <v>255766</v>
      </c>
      <c r="H15" s="516">
        <v>33031</v>
      </c>
      <c r="I15" s="516">
        <v>1038620</v>
      </c>
      <c r="J15" s="516">
        <v>5760</v>
      </c>
      <c r="K15" s="2742">
        <f t="shared" si="0"/>
        <v>2761757</v>
      </c>
    </row>
    <row r="16" spans="1:11" ht="32.25" customHeight="1" thickBot="1">
      <c r="A16" s="2743" t="s">
        <v>49</v>
      </c>
      <c r="B16" s="2744">
        <f>SUM(B4:B15)</f>
        <v>2719189</v>
      </c>
      <c r="C16" s="2744">
        <f t="shared" ref="C16:K16" si="1">SUM(C4:C15)</f>
        <v>10826228</v>
      </c>
      <c r="D16" s="2744">
        <f t="shared" si="1"/>
        <v>3125242</v>
      </c>
      <c r="E16" s="2744">
        <f t="shared" si="1"/>
        <v>1586972</v>
      </c>
      <c r="F16" s="2744">
        <f t="shared" si="1"/>
        <v>591650</v>
      </c>
      <c r="G16" s="2744">
        <f t="shared" si="1"/>
        <v>3189249</v>
      </c>
      <c r="H16" s="2744">
        <f t="shared" si="1"/>
        <v>538144</v>
      </c>
      <c r="I16" s="2744">
        <f t="shared" si="1"/>
        <v>13345612</v>
      </c>
      <c r="J16" s="2744">
        <f t="shared" si="1"/>
        <v>43392</v>
      </c>
      <c r="K16" s="2745">
        <f t="shared" si="1"/>
        <v>35965678</v>
      </c>
    </row>
    <row r="17" spans="1:11" ht="25.5" customHeight="1"/>
    <row r="18" spans="1:11" ht="18.75">
      <c r="A18" s="511"/>
    </row>
    <row r="19" spans="1:11" s="513" customFormat="1" ht="39" customHeight="1" thickBot="1">
      <c r="A19" s="3040" t="s">
        <v>735</v>
      </c>
      <c r="B19" s="3040"/>
      <c r="C19" s="3040"/>
      <c r="D19" s="3040"/>
      <c r="E19" s="3040"/>
      <c r="F19" s="3040"/>
      <c r="G19" s="3040"/>
      <c r="H19" s="3040"/>
      <c r="I19" s="3040"/>
      <c r="J19" s="3040"/>
      <c r="K19" s="3040"/>
    </row>
    <row r="20" spans="1:11" ht="42">
      <c r="A20" s="2736" t="s">
        <v>729</v>
      </c>
      <c r="B20" s="2737" t="s">
        <v>78</v>
      </c>
      <c r="C20" s="2737" t="s">
        <v>76</v>
      </c>
      <c r="D20" s="2738" t="s">
        <v>730</v>
      </c>
      <c r="E20" s="2737" t="s">
        <v>84</v>
      </c>
      <c r="F20" s="2738" t="s">
        <v>731</v>
      </c>
      <c r="G20" s="2738" t="s">
        <v>732</v>
      </c>
      <c r="H20" s="2737" t="s">
        <v>73</v>
      </c>
      <c r="I20" s="2737" t="s">
        <v>733</v>
      </c>
      <c r="J20" s="2739" t="s">
        <v>734</v>
      </c>
      <c r="K20" s="2740" t="s">
        <v>49</v>
      </c>
    </row>
    <row r="21" spans="1:11" ht="26.25" customHeight="1">
      <c r="A21" s="2741" t="s">
        <v>409</v>
      </c>
      <c r="B21" s="516">
        <v>117914.54999999999</v>
      </c>
      <c r="C21" s="516">
        <v>971971.45499999996</v>
      </c>
      <c r="D21" s="516">
        <v>101144.05799999999</v>
      </c>
      <c r="E21" s="516">
        <v>82061.948000000004</v>
      </c>
      <c r="F21" s="516">
        <v>21422.315999999999</v>
      </c>
      <c r="G21" s="516">
        <v>249824.97600000002</v>
      </c>
      <c r="H21" s="516">
        <v>56452.4</v>
      </c>
      <c r="I21" s="516">
        <v>121452.68399999999</v>
      </c>
      <c r="J21" s="516">
        <v>0</v>
      </c>
      <c r="K21" s="2742">
        <f>SUM(B21:J21)</f>
        <v>1722244.3869999999</v>
      </c>
    </row>
    <row r="22" spans="1:11" ht="26.25" customHeight="1">
      <c r="A22" s="2741" t="s">
        <v>410</v>
      </c>
      <c r="B22" s="516">
        <v>114757.70000000001</v>
      </c>
      <c r="C22" s="516">
        <v>955165.93200000003</v>
      </c>
      <c r="D22" s="516">
        <v>89897.132000000012</v>
      </c>
      <c r="E22" s="516">
        <v>77659.736000000004</v>
      </c>
      <c r="F22" s="516">
        <v>21418.898000000001</v>
      </c>
      <c r="G22" s="516">
        <v>223810.52000000002</v>
      </c>
      <c r="H22" s="516">
        <v>56141.904000000002</v>
      </c>
      <c r="I22" s="516">
        <v>124019.32</v>
      </c>
      <c r="J22" s="516">
        <v>0</v>
      </c>
      <c r="K22" s="2742">
        <f t="shared" ref="K22:K32" si="2">SUM(B22:J22)</f>
        <v>1662871.1420000002</v>
      </c>
    </row>
    <row r="23" spans="1:11" ht="26.25" customHeight="1">
      <c r="A23" s="2741" t="s">
        <v>39</v>
      </c>
      <c r="B23" s="516">
        <v>102330.75</v>
      </c>
      <c r="C23" s="516">
        <v>939416.49199999997</v>
      </c>
      <c r="D23" s="516">
        <v>83937.758000000002</v>
      </c>
      <c r="E23" s="516">
        <v>78333.48</v>
      </c>
      <c r="F23" s="516">
        <v>19279.022000000001</v>
      </c>
      <c r="G23" s="516">
        <v>226965.25599999999</v>
      </c>
      <c r="H23" s="516">
        <v>55235.455999999998</v>
      </c>
      <c r="I23" s="516">
        <v>124123.008</v>
      </c>
      <c r="J23" s="516">
        <v>0</v>
      </c>
      <c r="K23" s="2742">
        <f t="shared" si="2"/>
        <v>1629621.2220000001</v>
      </c>
    </row>
    <row r="24" spans="1:11" ht="26.25" customHeight="1">
      <c r="A24" s="2741" t="s">
        <v>411</v>
      </c>
      <c r="B24" s="516">
        <v>101923.20000000001</v>
      </c>
      <c r="C24" s="516">
        <v>907557.26899999997</v>
      </c>
      <c r="D24" s="516">
        <v>82261.496000000014</v>
      </c>
      <c r="E24" s="516">
        <v>79289.156000000003</v>
      </c>
      <c r="F24" s="516">
        <v>13284.558000000001</v>
      </c>
      <c r="G24" s="516">
        <v>186659.976</v>
      </c>
      <c r="H24" s="516">
        <v>38586.36</v>
      </c>
      <c r="I24" s="516">
        <v>108596.144</v>
      </c>
      <c r="J24" s="516">
        <v>0</v>
      </c>
      <c r="K24" s="2742">
        <f t="shared" si="2"/>
        <v>1518158.1590000002</v>
      </c>
    </row>
    <row r="25" spans="1:11" ht="26.25" customHeight="1">
      <c r="A25" s="2741" t="s">
        <v>41</v>
      </c>
      <c r="B25" s="516">
        <v>95949.6</v>
      </c>
      <c r="C25" s="516">
        <v>890376.43500000006</v>
      </c>
      <c r="D25" s="516">
        <v>95251.743999999977</v>
      </c>
      <c r="E25" s="516">
        <v>79080.504000000001</v>
      </c>
      <c r="F25" s="516">
        <v>15574.583999999999</v>
      </c>
      <c r="G25" s="516">
        <v>189789.80799999999</v>
      </c>
      <c r="H25" s="516">
        <v>38556.312000000005</v>
      </c>
      <c r="I25" s="516">
        <v>103072.624</v>
      </c>
      <c r="J25" s="516">
        <v>755.2</v>
      </c>
      <c r="K25" s="2742">
        <f t="shared" si="2"/>
        <v>1508406.811</v>
      </c>
    </row>
    <row r="26" spans="1:11" ht="26.25" customHeight="1">
      <c r="A26" s="2741" t="s">
        <v>412</v>
      </c>
      <c r="B26" s="516">
        <v>91947.25</v>
      </c>
      <c r="C26" s="516">
        <v>888476.47499999998</v>
      </c>
      <c r="D26" s="516">
        <v>150672.378</v>
      </c>
      <c r="E26" s="516">
        <v>64899.64</v>
      </c>
      <c r="F26" s="516">
        <v>17911.544000000002</v>
      </c>
      <c r="G26" s="516">
        <v>204335.35200000001</v>
      </c>
      <c r="H26" s="516">
        <v>45056.695999999996</v>
      </c>
      <c r="I26" s="516">
        <v>106890.46</v>
      </c>
      <c r="J26" s="516">
        <v>18419.328000000001</v>
      </c>
      <c r="K26" s="2742">
        <f t="shared" si="2"/>
        <v>1588609.1229999997</v>
      </c>
    </row>
    <row r="27" spans="1:11" ht="26.25" customHeight="1">
      <c r="A27" s="2741" t="s">
        <v>43</v>
      </c>
      <c r="B27" s="516">
        <v>90526.05</v>
      </c>
      <c r="C27" s="516">
        <v>908407.98499999999</v>
      </c>
      <c r="D27" s="516">
        <v>94666.486000000004</v>
      </c>
      <c r="E27" s="516">
        <v>57124.86</v>
      </c>
      <c r="F27" s="516">
        <v>14167.596000000001</v>
      </c>
      <c r="G27" s="516">
        <v>197850.68800000002</v>
      </c>
      <c r="H27" s="516">
        <v>38361</v>
      </c>
      <c r="I27" s="516">
        <v>111549.64</v>
      </c>
      <c r="J27" s="516">
        <v>339.84</v>
      </c>
      <c r="K27" s="2742">
        <f t="shared" si="2"/>
        <v>1512994.145</v>
      </c>
    </row>
    <row r="28" spans="1:11" ht="26.25" customHeight="1">
      <c r="A28" s="2741" t="s">
        <v>405</v>
      </c>
      <c r="B28" s="516">
        <v>88791.35</v>
      </c>
      <c r="C28" s="516">
        <v>888177.58499999996</v>
      </c>
      <c r="D28" s="516">
        <v>97499.616000000009</v>
      </c>
      <c r="E28" s="516">
        <v>53662.951999999997</v>
      </c>
      <c r="F28" s="516">
        <v>15733.364000000001</v>
      </c>
      <c r="G28" s="516">
        <v>191890.408</v>
      </c>
      <c r="H28" s="516">
        <v>47425.479999999996</v>
      </c>
      <c r="I28" s="516">
        <v>113853.552</v>
      </c>
      <c r="J28" s="516">
        <v>0</v>
      </c>
      <c r="K28" s="2742">
        <f t="shared" si="2"/>
        <v>1497034.307</v>
      </c>
    </row>
    <row r="29" spans="1:11" ht="26.25" customHeight="1">
      <c r="A29" s="2741" t="s">
        <v>45</v>
      </c>
      <c r="B29" s="516">
        <v>86906.55</v>
      </c>
      <c r="C29" s="516">
        <v>906217.90899999999</v>
      </c>
      <c r="D29" s="516">
        <v>99256.912000000011</v>
      </c>
      <c r="E29" s="516">
        <v>60024.635999999999</v>
      </c>
      <c r="F29" s="516">
        <v>16032.903999999999</v>
      </c>
      <c r="G29" s="516">
        <v>191221.07800000001</v>
      </c>
      <c r="H29" s="516">
        <v>47450.520000000004</v>
      </c>
      <c r="I29" s="516">
        <v>112378.352</v>
      </c>
      <c r="J29" s="516">
        <v>3828</v>
      </c>
      <c r="K29" s="2742">
        <f t="shared" si="2"/>
        <v>1523316.861</v>
      </c>
    </row>
    <row r="30" spans="1:11" ht="26.25" customHeight="1">
      <c r="A30" s="2741" t="s">
        <v>413</v>
      </c>
      <c r="B30" s="516">
        <v>85685.8</v>
      </c>
      <c r="C30" s="516">
        <v>893331.12199999997</v>
      </c>
      <c r="D30" s="516">
        <v>99533.66</v>
      </c>
      <c r="E30" s="516">
        <v>59303.327999999994</v>
      </c>
      <c r="F30" s="516">
        <v>13942.214</v>
      </c>
      <c r="G30" s="516">
        <v>200823.25199999998</v>
      </c>
      <c r="H30" s="516">
        <v>38806.712</v>
      </c>
      <c r="I30" s="516">
        <v>111894.952</v>
      </c>
      <c r="J30" s="516">
        <v>6545.88</v>
      </c>
      <c r="K30" s="2742">
        <f t="shared" si="2"/>
        <v>1509866.9199999997</v>
      </c>
    </row>
    <row r="31" spans="1:11" ht="26.25" customHeight="1">
      <c r="A31" s="2741" t="s">
        <v>47</v>
      </c>
      <c r="B31" s="516">
        <v>80773.350000000006</v>
      </c>
      <c r="C31" s="516">
        <v>892946.76199999999</v>
      </c>
      <c r="D31" s="516">
        <v>99098.991999999998</v>
      </c>
      <c r="E31" s="516">
        <v>58761.34</v>
      </c>
      <c r="F31" s="516">
        <v>14426.07</v>
      </c>
      <c r="G31" s="516">
        <v>206293.16800000001</v>
      </c>
      <c r="H31" s="516">
        <v>37960.36</v>
      </c>
      <c r="I31" s="516">
        <v>111891.17600000001</v>
      </c>
      <c r="J31" s="516">
        <v>5856.84</v>
      </c>
      <c r="K31" s="2742">
        <f t="shared" si="2"/>
        <v>1508008.0580000004</v>
      </c>
    </row>
    <row r="32" spans="1:11" ht="26.25" customHeight="1">
      <c r="A32" s="2741" t="s">
        <v>48</v>
      </c>
      <c r="B32" s="516">
        <v>78199.8</v>
      </c>
      <c r="C32" s="516">
        <v>840607.42599999998</v>
      </c>
      <c r="D32" s="516">
        <v>101143.91399999999</v>
      </c>
      <c r="E32" s="516">
        <v>54842.384000000005</v>
      </c>
      <c r="F32" s="516">
        <v>12922.984</v>
      </c>
      <c r="G32" s="516">
        <v>191285.33199999999</v>
      </c>
      <c r="H32" s="516">
        <v>37389.448000000004</v>
      </c>
      <c r="I32" s="516">
        <v>106565.804</v>
      </c>
      <c r="J32" s="516">
        <v>5512.32</v>
      </c>
      <c r="K32" s="2742">
        <f t="shared" si="2"/>
        <v>1428469.412</v>
      </c>
    </row>
    <row r="33" spans="1:23" ht="26.25" customHeight="1" thickBot="1">
      <c r="A33" s="2743" t="s">
        <v>49</v>
      </c>
      <c r="B33" s="2744">
        <f>SUM(B21:B32)</f>
        <v>1135705.9500000002</v>
      </c>
      <c r="C33" s="2744">
        <f t="shared" ref="C33:K33" si="3">SUM(C21:C32)</f>
        <v>10882652.846999999</v>
      </c>
      <c r="D33" s="2744">
        <f t="shared" si="3"/>
        <v>1194364.1460000002</v>
      </c>
      <c r="E33" s="2744">
        <f t="shared" si="3"/>
        <v>805043.96399999992</v>
      </c>
      <c r="F33" s="2744">
        <f t="shared" si="3"/>
        <v>196116.05400000006</v>
      </c>
      <c r="G33" s="2744">
        <f t="shared" si="3"/>
        <v>2460749.8140000002</v>
      </c>
      <c r="H33" s="2744">
        <f t="shared" si="3"/>
        <v>537422.64800000004</v>
      </c>
      <c r="I33" s="2744">
        <f t="shared" si="3"/>
        <v>1356287.7159999998</v>
      </c>
      <c r="J33" s="2744">
        <f t="shared" si="3"/>
        <v>41257.408000000003</v>
      </c>
      <c r="K33" s="2745">
        <f t="shared" si="3"/>
        <v>18609600.547000002</v>
      </c>
    </row>
    <row r="34" spans="1:23" ht="18.75">
      <c r="A34" s="517" t="s">
        <v>685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</row>
  </sheetData>
  <mergeCells count="2">
    <mergeCell ref="A2:K2"/>
    <mergeCell ref="A19:K19"/>
  </mergeCells>
  <printOptions horizontalCentered="1" verticalCentered="1"/>
  <pageMargins left="0.11811023622047245" right="0.11811023622047245" top="0.35433070866141736" bottom="0.35433070866141736" header="0.31496062992125984" footer="0.11811023622047245"/>
  <pageSetup paperSize="9" scale="65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/>
    <pageSetUpPr fitToPage="1"/>
  </sheetPr>
  <dimension ref="A1:W41"/>
  <sheetViews>
    <sheetView rightToLeft="1" topLeftCell="A10" workbookViewId="0">
      <selection activeCell="D19" sqref="D19"/>
    </sheetView>
  </sheetViews>
  <sheetFormatPr defaultColWidth="10.125" defaultRowHeight="15"/>
  <cols>
    <col min="1" max="1" width="27.125" style="519" customWidth="1"/>
    <col min="2" max="2" width="17.875" style="519" bestFit="1" customWidth="1"/>
    <col min="3" max="3" width="19.625" style="519" bestFit="1" customWidth="1"/>
    <col min="4" max="4" width="22.75" style="519" customWidth="1"/>
    <col min="5" max="5" width="17.625" style="519" bestFit="1" customWidth="1"/>
    <col min="6" max="6" width="16.875" style="519" bestFit="1" customWidth="1"/>
    <col min="7" max="7" width="21.25" style="519" customWidth="1"/>
    <col min="8" max="8" width="15.625" style="519" customWidth="1"/>
    <col min="9" max="9" width="10.375" style="519" bestFit="1" customWidth="1"/>
    <col min="10" max="16384" width="10.125" style="519"/>
  </cols>
  <sheetData>
    <row r="1" spans="1:23" ht="18.75">
      <c r="A1" s="518"/>
    </row>
    <row r="2" spans="1:23" s="520" customFormat="1" ht="19.5">
      <c r="A2" s="3041" t="s">
        <v>736</v>
      </c>
      <c r="B2" s="3041"/>
      <c r="C2" s="3041"/>
      <c r="D2" s="3041"/>
    </row>
    <row r="3" spans="1:23" ht="21">
      <c r="A3" s="514" t="s">
        <v>737</v>
      </c>
      <c r="B3" s="514" t="s">
        <v>738</v>
      </c>
      <c r="C3" s="514" t="s">
        <v>739</v>
      </c>
      <c r="D3" s="521" t="s">
        <v>740</v>
      </c>
      <c r="F3" s="522"/>
      <c r="G3" s="522"/>
      <c r="H3" s="522"/>
      <c r="I3" s="522"/>
      <c r="J3" s="522"/>
      <c r="K3" s="522"/>
      <c r="L3" s="522"/>
      <c r="M3" s="522"/>
      <c r="N3" s="522"/>
      <c r="O3" s="522"/>
    </row>
    <row r="4" spans="1:23" ht="21">
      <c r="A4" s="514" t="s">
        <v>78</v>
      </c>
      <c r="B4" s="515">
        <v>2719189</v>
      </c>
      <c r="C4" s="515">
        <v>2610748</v>
      </c>
      <c r="D4" s="523">
        <f t="shared" ref="D4:D14" si="0">C4/B4</f>
        <v>0.96012009463115655</v>
      </c>
      <c r="F4" s="522"/>
      <c r="G4" s="522"/>
      <c r="H4" s="522"/>
      <c r="I4" s="524"/>
      <c r="J4" s="522"/>
      <c r="K4" s="522"/>
      <c r="L4" s="522"/>
      <c r="M4" s="522"/>
      <c r="N4" s="522"/>
      <c r="O4" s="522"/>
    </row>
    <row r="5" spans="1:23" ht="21">
      <c r="A5" s="514" t="s">
        <v>76</v>
      </c>
      <c r="B5" s="515">
        <v>10826228</v>
      </c>
      <c r="C5" s="515">
        <v>10613954</v>
      </c>
      <c r="D5" s="523">
        <f t="shared" si="0"/>
        <v>0.98039261689297508</v>
      </c>
      <c r="F5" s="522"/>
      <c r="G5" s="522"/>
      <c r="H5" s="522"/>
      <c r="I5" s="524"/>
    </row>
    <row r="6" spans="1:23" ht="21">
      <c r="A6" s="514" t="s">
        <v>714</v>
      </c>
      <c r="B6" s="515">
        <v>3125242</v>
      </c>
      <c r="C6" s="515">
        <v>3009783</v>
      </c>
      <c r="D6" s="523">
        <f t="shared" si="0"/>
        <v>0.96305598094483558</v>
      </c>
      <c r="F6" s="522"/>
      <c r="G6" s="522"/>
      <c r="H6" s="522"/>
      <c r="I6" s="524"/>
    </row>
    <row r="7" spans="1:23" ht="21">
      <c r="A7" s="514" t="s">
        <v>84</v>
      </c>
      <c r="B7" s="515">
        <v>1586972</v>
      </c>
      <c r="C7" s="515">
        <v>1558063</v>
      </c>
      <c r="D7" s="523">
        <f t="shared" si="0"/>
        <v>0.98178354753581032</v>
      </c>
      <c r="F7" s="522"/>
      <c r="G7" s="522"/>
      <c r="H7" s="522"/>
      <c r="I7" s="524"/>
    </row>
    <row r="8" spans="1:23" ht="21">
      <c r="A8" s="514" t="s">
        <v>715</v>
      </c>
      <c r="B8" s="515">
        <v>591650</v>
      </c>
      <c r="C8" s="515">
        <v>583586</v>
      </c>
      <c r="D8" s="523">
        <f t="shared" si="0"/>
        <v>0.98637032029071237</v>
      </c>
      <c r="F8" s="522"/>
      <c r="G8" s="522"/>
      <c r="H8" s="522"/>
      <c r="I8" s="524"/>
    </row>
    <row r="9" spans="1:23" ht="21">
      <c r="A9" s="514" t="s">
        <v>716</v>
      </c>
      <c r="B9" s="515">
        <v>3189249</v>
      </c>
      <c r="C9" s="515">
        <v>3153179</v>
      </c>
      <c r="D9" s="523">
        <f t="shared" si="0"/>
        <v>0.98869012736227246</v>
      </c>
      <c r="F9" s="522"/>
      <c r="G9" s="524"/>
      <c r="H9" s="522"/>
      <c r="I9" s="524"/>
    </row>
    <row r="10" spans="1:23" ht="21">
      <c r="A10" s="514" t="s">
        <v>73</v>
      </c>
      <c r="B10" s="515">
        <v>538144</v>
      </c>
      <c r="C10" s="515">
        <v>526507</v>
      </c>
      <c r="D10" s="523">
        <f t="shared" si="0"/>
        <v>0.97837567639888212</v>
      </c>
      <c r="F10" s="522"/>
      <c r="G10" s="522"/>
      <c r="H10" s="522"/>
      <c r="I10" s="524"/>
    </row>
    <row r="11" spans="1:23" ht="21">
      <c r="A11" s="514" t="s">
        <v>741</v>
      </c>
      <c r="B11" s="525">
        <f>SUM(B4:B10)</f>
        <v>22576674</v>
      </c>
      <c r="C11" s="525">
        <f>SUM(C4:C10)</f>
        <v>22055820</v>
      </c>
      <c r="D11" s="526">
        <f t="shared" si="0"/>
        <v>0.97692955127048386</v>
      </c>
      <c r="F11" s="522"/>
      <c r="G11" s="522"/>
      <c r="H11" s="522"/>
      <c r="I11" s="524"/>
    </row>
    <row r="12" spans="1:23" ht="21">
      <c r="A12" s="514" t="s">
        <v>742</v>
      </c>
      <c r="B12" s="515">
        <v>13345612</v>
      </c>
      <c r="C12" s="515">
        <v>9721150</v>
      </c>
      <c r="D12" s="523">
        <f t="shared" si="0"/>
        <v>0.72841545221005977</v>
      </c>
      <c r="F12" s="522"/>
      <c r="G12" s="522"/>
      <c r="H12" s="522"/>
      <c r="I12" s="522"/>
    </row>
    <row r="13" spans="1:23" ht="21">
      <c r="A13" s="514" t="s">
        <v>718</v>
      </c>
      <c r="B13" s="515">
        <v>43392</v>
      </c>
      <c r="C13" s="515">
        <v>7157</v>
      </c>
      <c r="D13" s="523">
        <f t="shared" si="0"/>
        <v>0.16493823746312683</v>
      </c>
      <c r="F13" s="522"/>
      <c r="G13" s="522"/>
      <c r="H13" s="522"/>
      <c r="I13" s="527"/>
    </row>
    <row r="14" spans="1:23" ht="21">
      <c r="A14" s="514" t="s">
        <v>49</v>
      </c>
      <c r="B14" s="514">
        <f>SUM(B11:B13)</f>
        <v>35965678</v>
      </c>
      <c r="C14" s="514">
        <f>SUM(C11:C13)</f>
        <v>31784127</v>
      </c>
      <c r="D14" s="2148">
        <f t="shared" si="0"/>
        <v>0.88373495975802263</v>
      </c>
      <c r="E14" s="522"/>
      <c r="G14" s="522"/>
    </row>
    <row r="15" spans="1:23" ht="18.75">
      <c r="A15" s="517" t="s">
        <v>685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</row>
    <row r="16" spans="1:23" ht="18.75">
      <c r="A16" s="511"/>
    </row>
    <row r="17" spans="1:23" s="520" customFormat="1" ht="19.5">
      <c r="A17" s="3041" t="s">
        <v>743</v>
      </c>
      <c r="B17" s="3041"/>
      <c r="C17" s="3041"/>
      <c r="D17" s="3041"/>
    </row>
    <row r="18" spans="1:23" ht="21">
      <c r="A18" s="514" t="s">
        <v>686</v>
      </c>
      <c r="B18" s="514" t="s">
        <v>738</v>
      </c>
      <c r="C18" s="514" t="s">
        <v>739</v>
      </c>
      <c r="D18" s="521" t="s">
        <v>740</v>
      </c>
    </row>
    <row r="19" spans="1:23" ht="21">
      <c r="A19" s="514" t="s">
        <v>409</v>
      </c>
      <c r="B19" s="515">
        <v>3209525</v>
      </c>
      <c r="C19" s="515">
        <v>2469314</v>
      </c>
      <c r="D19" s="523">
        <f t="shared" ref="D19:D31" si="1">C19/B19</f>
        <v>0.76937054548570272</v>
      </c>
      <c r="E19" s="522"/>
      <c r="G19" s="522"/>
    </row>
    <row r="20" spans="1:23" ht="21">
      <c r="A20" s="514" t="s">
        <v>410</v>
      </c>
      <c r="B20" s="515">
        <v>3208477</v>
      </c>
      <c r="C20" s="515">
        <v>2876801</v>
      </c>
      <c r="D20" s="523">
        <f t="shared" si="1"/>
        <v>0.89662509658009082</v>
      </c>
      <c r="E20" s="522"/>
      <c r="G20" s="522"/>
    </row>
    <row r="21" spans="1:23" ht="21">
      <c r="A21" s="514" t="s">
        <v>39</v>
      </c>
      <c r="B21" s="515">
        <v>3164877</v>
      </c>
      <c r="C21" s="515">
        <v>2817950</v>
      </c>
      <c r="D21" s="523">
        <f t="shared" si="1"/>
        <v>0.89038215387201458</v>
      </c>
      <c r="E21" s="522"/>
      <c r="G21" s="522"/>
    </row>
    <row r="22" spans="1:23" ht="21">
      <c r="A22" s="514" t="s">
        <v>411</v>
      </c>
      <c r="B22" s="515">
        <v>2835947</v>
      </c>
      <c r="C22" s="515">
        <v>2609642</v>
      </c>
      <c r="D22" s="523">
        <f t="shared" si="1"/>
        <v>0.92020125905032779</v>
      </c>
      <c r="E22" s="522"/>
      <c r="G22" s="522"/>
    </row>
    <row r="23" spans="1:23" ht="21">
      <c r="A23" s="514" t="s">
        <v>41</v>
      </c>
      <c r="B23" s="515">
        <v>2793693</v>
      </c>
      <c r="C23" s="515">
        <v>2589961</v>
      </c>
      <c r="D23" s="523">
        <f t="shared" si="1"/>
        <v>0.92707430630352006</v>
      </c>
      <c r="E23" s="522"/>
      <c r="G23" s="522"/>
    </row>
    <row r="24" spans="1:23" ht="21">
      <c r="A24" s="514" t="s">
        <v>412</v>
      </c>
      <c r="B24" s="515">
        <v>3157045</v>
      </c>
      <c r="C24" s="515">
        <v>2864493</v>
      </c>
      <c r="D24" s="523">
        <f t="shared" si="1"/>
        <v>0.90733359834908911</v>
      </c>
      <c r="E24" s="522"/>
      <c r="G24" s="522"/>
    </row>
    <row r="25" spans="1:23" ht="21">
      <c r="A25" s="514" t="s">
        <v>43</v>
      </c>
      <c r="B25" s="515">
        <v>2945729</v>
      </c>
      <c r="C25" s="515">
        <v>2658392</v>
      </c>
      <c r="D25" s="523">
        <f t="shared" si="1"/>
        <v>0.90245640383076653</v>
      </c>
      <c r="E25" s="522"/>
      <c r="G25" s="522"/>
    </row>
    <row r="26" spans="1:23" ht="21">
      <c r="A26" s="514" t="s">
        <v>405</v>
      </c>
      <c r="B26" s="515">
        <v>2997513</v>
      </c>
      <c r="C26" s="515">
        <v>2721480</v>
      </c>
      <c r="D26" s="523">
        <f t="shared" si="1"/>
        <v>0.90791265959480405</v>
      </c>
      <c r="E26" s="522"/>
      <c r="G26" s="522"/>
    </row>
    <row r="27" spans="1:23" ht="21">
      <c r="A27" s="514" t="s">
        <v>45</v>
      </c>
      <c r="B27" s="515">
        <v>3001473</v>
      </c>
      <c r="C27" s="515">
        <v>2667526</v>
      </c>
      <c r="D27" s="523">
        <f t="shared" si="1"/>
        <v>0.88873896250274453</v>
      </c>
      <c r="E27" s="522"/>
      <c r="G27" s="522"/>
    </row>
    <row r="28" spans="1:23" ht="21">
      <c r="A28" s="514" t="s">
        <v>413</v>
      </c>
      <c r="B28" s="515">
        <v>2960575</v>
      </c>
      <c r="C28" s="515">
        <v>2566219</v>
      </c>
      <c r="D28" s="523">
        <f t="shared" si="1"/>
        <v>0.86679749710782539</v>
      </c>
      <c r="E28" s="522"/>
      <c r="G28" s="522"/>
    </row>
    <row r="29" spans="1:23" ht="21">
      <c r="A29" s="514" t="s">
        <v>47</v>
      </c>
      <c r="B29" s="515">
        <v>2929067</v>
      </c>
      <c r="C29" s="515">
        <v>2604056</v>
      </c>
      <c r="D29" s="523">
        <f t="shared" si="1"/>
        <v>0.88903941084311144</v>
      </c>
      <c r="E29" s="522"/>
      <c r="G29" s="522"/>
    </row>
    <row r="30" spans="1:23" ht="21">
      <c r="A30" s="514" t="s">
        <v>48</v>
      </c>
      <c r="B30" s="515">
        <v>2761757</v>
      </c>
      <c r="C30" s="515">
        <v>2338293</v>
      </c>
      <c r="D30" s="523">
        <f t="shared" si="1"/>
        <v>0.84666862435761003</v>
      </c>
      <c r="E30" s="522"/>
      <c r="G30" s="522"/>
    </row>
    <row r="31" spans="1:23" ht="21">
      <c r="A31" s="514" t="s">
        <v>49</v>
      </c>
      <c r="B31" s="514">
        <f>SUM(B19:B30)</f>
        <v>35965678</v>
      </c>
      <c r="C31" s="514">
        <f>SUM(C19:C30)</f>
        <v>31784127</v>
      </c>
      <c r="D31" s="2148">
        <f t="shared" si="1"/>
        <v>0.88373495975802263</v>
      </c>
      <c r="E31" s="522"/>
      <c r="G31" s="522"/>
    </row>
    <row r="32" spans="1:23" ht="18.75">
      <c r="A32" s="517" t="s">
        <v>685</v>
      </c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</row>
    <row r="33" spans="5:5">
      <c r="E33" s="522"/>
    </row>
    <row r="34" spans="5:5">
      <c r="E34" s="522"/>
    </row>
    <row r="35" spans="5:5">
      <c r="E35" s="522"/>
    </row>
    <row r="36" spans="5:5">
      <c r="E36" s="522"/>
    </row>
    <row r="37" spans="5:5">
      <c r="E37" s="522"/>
    </row>
    <row r="38" spans="5:5">
      <c r="E38" s="522"/>
    </row>
    <row r="39" spans="5:5">
      <c r="E39" s="522"/>
    </row>
    <row r="40" spans="5:5">
      <c r="E40" s="522"/>
    </row>
    <row r="41" spans="5:5">
      <c r="E41" s="522"/>
    </row>
  </sheetData>
  <mergeCells count="2">
    <mergeCell ref="A2:D2"/>
    <mergeCell ref="A17:D17"/>
  </mergeCells>
  <printOptions horizontalCentered="1" verticalCentered="1"/>
  <pageMargins left="0" right="0" top="0" bottom="0" header="0.31496062992125984" footer="0.31496062992125984"/>
  <pageSetup paperSize="9" fitToHeight="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/>
    <pageSetUpPr fitToPage="1"/>
  </sheetPr>
  <dimension ref="A1:W34"/>
  <sheetViews>
    <sheetView rightToLeft="1" workbookViewId="0">
      <selection activeCell="D34" sqref="A1:D34"/>
    </sheetView>
  </sheetViews>
  <sheetFormatPr defaultColWidth="10.125" defaultRowHeight="15"/>
  <cols>
    <col min="1" max="1" width="27.125" style="519" customWidth="1"/>
    <col min="2" max="2" width="17.875" style="519" bestFit="1" customWidth="1"/>
    <col min="3" max="3" width="19.625" style="519" bestFit="1" customWidth="1"/>
    <col min="4" max="4" width="23.375" style="519" customWidth="1"/>
    <col min="5" max="5" width="16.875" style="519" bestFit="1" customWidth="1"/>
    <col min="6" max="6" width="21.25" style="519" customWidth="1"/>
    <col min="7" max="7" width="15.625" style="519" customWidth="1"/>
    <col min="8" max="8" width="10.375" style="519" bestFit="1" customWidth="1"/>
    <col min="9" max="16384" width="10.125" style="519"/>
  </cols>
  <sheetData>
    <row r="1" spans="1:23" ht="18.75">
      <c r="A1" s="518"/>
    </row>
    <row r="2" spans="1:23" s="520" customFormat="1" ht="19.5">
      <c r="A2" s="3042" t="s">
        <v>744</v>
      </c>
      <c r="B2" s="3042"/>
      <c r="C2" s="3042"/>
      <c r="D2" s="3042"/>
    </row>
    <row r="3" spans="1:23" s="520" customFormat="1" ht="19.5">
      <c r="A3" s="528"/>
      <c r="B3" s="528"/>
      <c r="C3" s="528"/>
      <c r="D3" s="519" t="s">
        <v>745</v>
      </c>
    </row>
    <row r="4" spans="1:23" ht="21">
      <c r="A4" s="514" t="s">
        <v>737</v>
      </c>
      <c r="B4" s="514" t="s">
        <v>746</v>
      </c>
      <c r="C4" s="514" t="s">
        <v>747</v>
      </c>
      <c r="D4" s="514" t="s">
        <v>748</v>
      </c>
      <c r="E4" s="522"/>
      <c r="F4" s="522"/>
      <c r="G4" s="522"/>
      <c r="H4" s="522"/>
      <c r="I4" s="522"/>
      <c r="J4" s="522"/>
      <c r="K4" s="522"/>
      <c r="L4" s="522"/>
      <c r="M4" s="522"/>
      <c r="N4" s="522"/>
    </row>
    <row r="5" spans="1:23" ht="21">
      <c r="A5" s="529" t="s">
        <v>78</v>
      </c>
      <c r="B5" s="515">
        <v>1135705.9500000002</v>
      </c>
      <c r="C5" s="515">
        <v>665761.18599999999</v>
      </c>
      <c r="D5" s="523">
        <f t="shared" ref="D5:D14" si="0">C5/B5</f>
        <v>0.58620912041536799</v>
      </c>
      <c r="E5" s="522"/>
      <c r="F5" s="522"/>
      <c r="G5" s="522"/>
      <c r="H5" s="524"/>
      <c r="I5" s="522"/>
      <c r="J5" s="522"/>
      <c r="K5" s="522"/>
      <c r="L5" s="522"/>
      <c r="M5" s="522"/>
      <c r="N5" s="522"/>
    </row>
    <row r="6" spans="1:23" ht="21">
      <c r="A6" s="529" t="s">
        <v>76</v>
      </c>
      <c r="B6" s="515">
        <v>10882652.846999999</v>
      </c>
      <c r="C6" s="515">
        <v>10683775.179</v>
      </c>
      <c r="D6" s="523">
        <f t="shared" si="0"/>
        <v>0.98172525846445391</v>
      </c>
      <c r="E6" s="522"/>
      <c r="F6" s="522"/>
      <c r="G6" s="522"/>
      <c r="H6" s="524"/>
    </row>
    <row r="7" spans="1:23" ht="21">
      <c r="A7" s="529" t="s">
        <v>714</v>
      </c>
      <c r="B7" s="515">
        <v>1194364.1460000002</v>
      </c>
      <c r="C7" s="515">
        <v>550000.13699999999</v>
      </c>
      <c r="D7" s="523">
        <f t="shared" si="0"/>
        <v>0.46049618857195662</v>
      </c>
      <c r="E7" s="522"/>
      <c r="F7" s="522"/>
      <c r="G7" s="522"/>
      <c r="H7" s="524"/>
    </row>
    <row r="8" spans="1:23" ht="21">
      <c r="A8" s="529" t="s">
        <v>84</v>
      </c>
      <c r="B8" s="515">
        <v>805043.96399999992</v>
      </c>
      <c r="C8" s="515">
        <v>803134.54399999999</v>
      </c>
      <c r="D8" s="523">
        <f t="shared" si="0"/>
        <v>0.99762817922326552</v>
      </c>
      <c r="E8" s="522"/>
      <c r="F8" s="522"/>
      <c r="G8" s="522"/>
      <c r="H8" s="524"/>
    </row>
    <row r="9" spans="1:23" ht="21">
      <c r="A9" s="529" t="s">
        <v>715</v>
      </c>
      <c r="B9" s="515">
        <v>196116.05400000006</v>
      </c>
      <c r="C9" s="515">
        <v>182932.18</v>
      </c>
      <c r="D9" s="523">
        <f t="shared" si="0"/>
        <v>0.93277514139663409</v>
      </c>
      <c r="E9" s="522"/>
      <c r="F9" s="522"/>
      <c r="G9" s="522"/>
      <c r="H9" s="524"/>
    </row>
    <row r="10" spans="1:23" ht="21">
      <c r="A10" s="529" t="s">
        <v>716</v>
      </c>
      <c r="B10" s="515">
        <v>2460749.8140000002</v>
      </c>
      <c r="C10" s="515">
        <v>2243213.7480000001</v>
      </c>
      <c r="D10" s="523">
        <f t="shared" si="0"/>
        <v>0.91159765012990468</v>
      </c>
      <c r="E10" s="522"/>
      <c r="F10" s="524"/>
      <c r="G10" s="522"/>
      <c r="H10" s="524"/>
    </row>
    <row r="11" spans="1:23" ht="21">
      <c r="A11" s="529" t="s">
        <v>73</v>
      </c>
      <c r="B11" s="515">
        <v>537422.64800000004</v>
      </c>
      <c r="C11" s="515">
        <v>532324.15500000003</v>
      </c>
      <c r="D11" s="523">
        <f t="shared" si="0"/>
        <v>0.99051306635666758</v>
      </c>
      <c r="E11" s="522"/>
      <c r="F11" s="522"/>
      <c r="G11" s="522"/>
      <c r="H11" s="524"/>
    </row>
    <row r="12" spans="1:23" ht="21">
      <c r="A12" s="514" t="s">
        <v>742</v>
      </c>
      <c r="B12" s="515">
        <v>1356287.7159999998</v>
      </c>
      <c r="C12" s="515">
        <v>922197.76399999997</v>
      </c>
      <c r="D12" s="523">
        <f t="shared" si="0"/>
        <v>0.67994257643191702</v>
      </c>
      <c r="E12" s="522"/>
      <c r="F12" s="522"/>
      <c r="G12" s="522"/>
      <c r="H12" s="522"/>
    </row>
    <row r="13" spans="1:23" ht="21">
      <c r="A13" s="514" t="s">
        <v>718</v>
      </c>
      <c r="B13" s="515">
        <v>41257.408000000003</v>
      </c>
      <c r="C13" s="515">
        <v>10729.5</v>
      </c>
      <c r="D13" s="523">
        <f t="shared" si="0"/>
        <v>0.26006238685668276</v>
      </c>
      <c r="E13" s="522"/>
      <c r="F13" s="522"/>
      <c r="G13" s="522"/>
      <c r="H13" s="527"/>
    </row>
    <row r="14" spans="1:23" ht="21">
      <c r="A14" s="514" t="s">
        <v>49</v>
      </c>
      <c r="B14" s="514">
        <f>SUM(B5:B13)</f>
        <v>18609600.546999998</v>
      </c>
      <c r="C14" s="514">
        <f>SUM(C5:C13)</f>
        <v>16594068.392999999</v>
      </c>
      <c r="D14" s="2148">
        <f t="shared" si="0"/>
        <v>0.89169395931365558</v>
      </c>
      <c r="F14" s="522"/>
    </row>
    <row r="15" spans="1:23" ht="18.75">
      <c r="A15" s="517" t="s">
        <v>685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</row>
    <row r="16" spans="1:23" ht="18.75">
      <c r="A16" s="511"/>
    </row>
    <row r="17" spans="1:6" ht="18.75">
      <c r="A17" s="511"/>
    </row>
    <row r="18" spans="1:6" s="520" customFormat="1" ht="19.5">
      <c r="A18" s="3042" t="s">
        <v>749</v>
      </c>
      <c r="B18" s="3042"/>
      <c r="C18" s="3042"/>
      <c r="D18" s="3042"/>
    </row>
    <row r="19" spans="1:6" s="520" customFormat="1" ht="19.5">
      <c r="A19" s="528"/>
      <c r="B19" s="528"/>
      <c r="C19" s="528"/>
      <c r="D19" s="519" t="s">
        <v>745</v>
      </c>
    </row>
    <row r="20" spans="1:6" ht="21">
      <c r="A20" s="514" t="s">
        <v>686</v>
      </c>
      <c r="B20" s="514" t="s">
        <v>746</v>
      </c>
      <c r="C20" s="514" t="s">
        <v>747</v>
      </c>
      <c r="D20" s="514" t="s">
        <v>748</v>
      </c>
    </row>
    <row r="21" spans="1:6" ht="21">
      <c r="A21" s="514" t="s">
        <v>409</v>
      </c>
      <c r="B21" s="515">
        <v>1722244.3869999999</v>
      </c>
      <c r="C21" s="515">
        <v>1349299.189</v>
      </c>
      <c r="D21" s="523">
        <f t="shared" ref="D21:D33" si="1">C21/B21</f>
        <v>0.78345396227440289</v>
      </c>
      <c r="F21" s="522"/>
    </row>
    <row r="22" spans="1:6" ht="21">
      <c r="A22" s="514" t="s">
        <v>410</v>
      </c>
      <c r="B22" s="515">
        <v>1662871.1420000002</v>
      </c>
      <c r="C22" s="515">
        <v>1484232.4939999999</v>
      </c>
      <c r="D22" s="523">
        <f t="shared" si="1"/>
        <v>0.89257216419959962</v>
      </c>
      <c r="F22" s="522"/>
    </row>
    <row r="23" spans="1:6" ht="21">
      <c r="A23" s="514" t="s">
        <v>39</v>
      </c>
      <c r="B23" s="515">
        <v>1629621.2220000001</v>
      </c>
      <c r="C23" s="515">
        <v>1466158.0889999999</v>
      </c>
      <c r="D23" s="523">
        <f t="shared" si="1"/>
        <v>0.89969255996839237</v>
      </c>
      <c r="F23" s="522"/>
    </row>
    <row r="24" spans="1:6" ht="21">
      <c r="A24" s="514" t="s">
        <v>411</v>
      </c>
      <c r="B24" s="515">
        <v>1518158.1590000002</v>
      </c>
      <c r="C24" s="515">
        <v>1389778.361</v>
      </c>
      <c r="D24" s="523">
        <f t="shared" si="1"/>
        <v>0.91543713858866782</v>
      </c>
      <c r="F24" s="522"/>
    </row>
    <row r="25" spans="1:6" ht="21">
      <c r="A25" s="514" t="s">
        <v>41</v>
      </c>
      <c r="B25" s="515">
        <v>1508406.811</v>
      </c>
      <c r="C25" s="515">
        <v>1378954.4650000001</v>
      </c>
      <c r="D25" s="523">
        <f t="shared" si="1"/>
        <v>0.91417942092546023</v>
      </c>
      <c r="F25" s="522"/>
    </row>
    <row r="26" spans="1:6" ht="21">
      <c r="A26" s="514" t="s">
        <v>412</v>
      </c>
      <c r="B26" s="515">
        <v>1588609.1229999997</v>
      </c>
      <c r="C26" s="515">
        <v>1475018.267</v>
      </c>
      <c r="D26" s="523">
        <f t="shared" si="1"/>
        <v>0.92849666141568565</v>
      </c>
      <c r="F26" s="522"/>
    </row>
    <row r="27" spans="1:6" ht="21">
      <c r="A27" s="514" t="s">
        <v>43</v>
      </c>
      <c r="B27" s="515">
        <v>1512994.145</v>
      </c>
      <c r="C27" s="515">
        <v>1401060.622</v>
      </c>
      <c r="D27" s="523">
        <f t="shared" si="1"/>
        <v>0.92601853525348565</v>
      </c>
      <c r="F27" s="522"/>
    </row>
    <row r="28" spans="1:6" ht="21">
      <c r="A28" s="514" t="s">
        <v>405</v>
      </c>
      <c r="B28" s="515">
        <v>1497034.307</v>
      </c>
      <c r="C28" s="515">
        <v>1378892.496</v>
      </c>
      <c r="D28" s="523">
        <f t="shared" si="1"/>
        <v>0.92108276313536752</v>
      </c>
      <c r="F28" s="522"/>
    </row>
    <row r="29" spans="1:6" ht="21">
      <c r="A29" s="514" t="s">
        <v>45</v>
      </c>
      <c r="B29" s="515">
        <v>1523316.861</v>
      </c>
      <c r="C29" s="515">
        <v>1376723.3230000001</v>
      </c>
      <c r="D29" s="523">
        <f t="shared" si="1"/>
        <v>0.9037668775596911</v>
      </c>
      <c r="F29" s="522"/>
    </row>
    <row r="30" spans="1:6" ht="21">
      <c r="A30" s="514" t="s">
        <v>413</v>
      </c>
      <c r="B30" s="515">
        <v>1509866.9199999997</v>
      </c>
      <c r="C30" s="515">
        <v>1321589.6089999999</v>
      </c>
      <c r="D30" s="523">
        <f t="shared" si="1"/>
        <v>0.87530204913688703</v>
      </c>
      <c r="F30" s="522"/>
    </row>
    <row r="31" spans="1:6" ht="21">
      <c r="A31" s="514" t="s">
        <v>47</v>
      </c>
      <c r="B31" s="515">
        <v>1508008.0580000004</v>
      </c>
      <c r="C31" s="515">
        <v>1361618.2509999999</v>
      </c>
      <c r="D31" s="523">
        <f t="shared" si="1"/>
        <v>0.9029250498872331</v>
      </c>
      <c r="F31" s="522"/>
    </row>
    <row r="32" spans="1:6" ht="21">
      <c r="A32" s="514" t="s">
        <v>48</v>
      </c>
      <c r="B32" s="515">
        <v>1428469.412</v>
      </c>
      <c r="C32" s="515">
        <v>1210743.227</v>
      </c>
      <c r="D32" s="523">
        <f t="shared" si="1"/>
        <v>0.84758078600005748</v>
      </c>
      <c r="F32" s="522"/>
    </row>
    <row r="33" spans="1:23" ht="21">
      <c r="A33" s="514" t="s">
        <v>49</v>
      </c>
      <c r="B33" s="514">
        <f>SUM(B21:B32)</f>
        <v>18609600.547000002</v>
      </c>
      <c r="C33" s="514">
        <f>SUM(C21:C32)</f>
        <v>16594068.392999997</v>
      </c>
      <c r="D33" s="2148">
        <f t="shared" si="1"/>
        <v>0.89169395931365525</v>
      </c>
      <c r="F33" s="522"/>
    </row>
    <row r="34" spans="1:23" ht="18.75">
      <c r="A34" s="517" t="s">
        <v>685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</row>
  </sheetData>
  <mergeCells count="2">
    <mergeCell ref="A2:D2"/>
    <mergeCell ref="A18:D18"/>
  </mergeCells>
  <printOptions horizontalCentered="1" verticalCentered="1"/>
  <pageMargins left="0" right="0" top="0" bottom="0" header="0.31496062992125984" footer="0.31496062992125984"/>
  <pageSetup paperSize="9" fitToHeight="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W13"/>
  <sheetViews>
    <sheetView rightToLeft="1" workbookViewId="0">
      <selection sqref="A1:K11"/>
    </sheetView>
  </sheetViews>
  <sheetFormatPr defaultColWidth="10.375" defaultRowHeight="14.25"/>
  <cols>
    <col min="1" max="1" width="19.875" style="530" customWidth="1"/>
    <col min="2" max="11" width="10.375" style="530" customWidth="1"/>
    <col min="12" max="16384" width="10.375" style="530"/>
  </cols>
  <sheetData>
    <row r="1" spans="1:23" ht="26.25" thickBot="1">
      <c r="A1" s="3043" t="s">
        <v>750</v>
      </c>
      <c r="B1" s="3043"/>
      <c r="C1" s="3043"/>
      <c r="D1" s="3043"/>
      <c r="E1" s="3043"/>
      <c r="F1" s="3043"/>
      <c r="G1" s="3043"/>
      <c r="H1" s="3043"/>
      <c r="I1" s="3043"/>
      <c r="J1" s="3043"/>
      <c r="K1" s="3043"/>
    </row>
    <row r="2" spans="1:23" ht="40.9" customHeight="1">
      <c r="A2" s="531" t="s">
        <v>737</v>
      </c>
      <c r="B2" s="3044" t="s">
        <v>751</v>
      </c>
      <c r="C2" s="3044"/>
      <c r="D2" s="3044" t="s">
        <v>752</v>
      </c>
      <c r="E2" s="3044"/>
      <c r="F2" s="3044" t="s">
        <v>753</v>
      </c>
      <c r="G2" s="3044"/>
      <c r="H2" s="3044" t="s">
        <v>754</v>
      </c>
      <c r="I2" s="3044"/>
      <c r="J2" s="3044" t="s">
        <v>755</v>
      </c>
      <c r="K2" s="3045"/>
    </row>
    <row r="3" spans="1:23" ht="27.75" customHeight="1">
      <c r="A3" s="532"/>
      <c r="B3" s="533" t="s">
        <v>756</v>
      </c>
      <c r="C3" s="533" t="s">
        <v>757</v>
      </c>
      <c r="D3" s="533" t="s">
        <v>756</v>
      </c>
      <c r="E3" s="533" t="s">
        <v>757</v>
      </c>
      <c r="F3" s="533" t="s">
        <v>756</v>
      </c>
      <c r="G3" s="533" t="s">
        <v>757</v>
      </c>
      <c r="H3" s="533" t="s">
        <v>756</v>
      </c>
      <c r="I3" s="533" t="s">
        <v>757</v>
      </c>
      <c r="J3" s="533" t="s">
        <v>756</v>
      </c>
      <c r="K3" s="534" t="s">
        <v>757</v>
      </c>
    </row>
    <row r="4" spans="1:23" ht="27.75" customHeight="1">
      <c r="A4" s="532" t="s">
        <v>758</v>
      </c>
      <c r="B4" s="535">
        <v>7.3309100998889347</v>
      </c>
      <c r="C4" s="535">
        <v>7.8314560851319186</v>
      </c>
      <c r="D4" s="535">
        <v>7.7164076951534843</v>
      </c>
      <c r="E4" s="535">
        <v>8.1551333932854</v>
      </c>
      <c r="F4" s="536">
        <v>23.129855715871255</v>
      </c>
      <c r="G4" s="536">
        <v>19.420638489208635</v>
      </c>
      <c r="H4" s="536">
        <v>76.478858082331797</v>
      </c>
      <c r="I4" s="536">
        <v>74.551976980387678</v>
      </c>
      <c r="J4" s="536">
        <v>73.172560997937012</v>
      </c>
      <c r="K4" s="537">
        <v>72.097180224106467</v>
      </c>
      <c r="L4" s="538"/>
    </row>
    <row r="5" spans="1:23" ht="27.75" customHeight="1">
      <c r="A5" s="532" t="s">
        <v>76</v>
      </c>
      <c r="B5" s="535">
        <v>9.883983969824838</v>
      </c>
      <c r="C5" s="535">
        <v>9.8696331066186023</v>
      </c>
      <c r="D5" s="535">
        <v>10.419712399811088</v>
      </c>
      <c r="E5" s="535">
        <v>10.412905131398025</v>
      </c>
      <c r="F5" s="536">
        <v>32.143705799151341</v>
      </c>
      <c r="G5" s="536">
        <v>32.596321486732442</v>
      </c>
      <c r="H5" s="536">
        <v>93.048931244925782</v>
      </c>
      <c r="I5" s="536">
        <v>94.005237082121155</v>
      </c>
      <c r="J5" s="536">
        <v>88.591667477703965</v>
      </c>
      <c r="K5" s="537">
        <v>89.410771715171649</v>
      </c>
      <c r="L5" s="538"/>
    </row>
    <row r="6" spans="1:23" ht="27.75" customHeight="1">
      <c r="A6" s="532" t="s">
        <v>714</v>
      </c>
      <c r="B6" s="535">
        <v>14.345014245014294</v>
      </c>
      <c r="C6" s="535">
        <v>14.243436073059424</v>
      </c>
      <c r="D6" s="535">
        <v>15.444688644688631</v>
      </c>
      <c r="E6" s="535">
        <v>14.714982876712385</v>
      </c>
      <c r="F6" s="536">
        <v>65.980463980463981</v>
      </c>
      <c r="G6" s="536">
        <v>28.292808219178081</v>
      </c>
      <c r="H6" s="536">
        <v>61.24664071318012</v>
      </c>
      <c r="I6" s="536">
        <v>61.060791448123155</v>
      </c>
      <c r="J6" s="536">
        <v>57.069061279728032</v>
      </c>
      <c r="K6" s="537">
        <v>59.212252260121552</v>
      </c>
      <c r="L6" s="538"/>
    </row>
    <row r="7" spans="1:23" ht="27.75" customHeight="1">
      <c r="A7" s="532" t="s">
        <v>84</v>
      </c>
      <c r="B7" s="535">
        <v>16.243903993202846</v>
      </c>
      <c r="C7" s="535">
        <v>16.694186524239438</v>
      </c>
      <c r="D7" s="535">
        <v>17.903171905975523</v>
      </c>
      <c r="E7" s="535">
        <v>17.912537660914726</v>
      </c>
      <c r="F7" s="536">
        <v>99.556074766355138</v>
      </c>
      <c r="G7" s="536">
        <v>73.101068200493017</v>
      </c>
      <c r="H7" s="536">
        <v>78.244941180144508</v>
      </c>
      <c r="I7" s="536">
        <v>77.643240336520819</v>
      </c>
      <c r="J7" s="536">
        <v>70.890874256934836</v>
      </c>
      <c r="K7" s="537">
        <v>72.541197803023195</v>
      </c>
      <c r="L7" s="538"/>
    </row>
    <row r="8" spans="1:23" ht="27.75" customHeight="1">
      <c r="A8" s="532" t="s">
        <v>715</v>
      </c>
      <c r="B8" s="535">
        <v>8.7067796610168529</v>
      </c>
      <c r="C8" s="535">
        <v>8.6232044722379477</v>
      </c>
      <c r="D8" s="535">
        <v>9.1763619854721377</v>
      </c>
      <c r="E8" s="535">
        <v>9.0735361000568471</v>
      </c>
      <c r="F8" s="536">
        <v>28.174939467312349</v>
      </c>
      <c r="G8" s="536">
        <v>27.019897669130188</v>
      </c>
      <c r="H8" s="536">
        <v>62.050412070075879</v>
      </c>
      <c r="I8" s="536">
        <v>61.657586574395829</v>
      </c>
      <c r="J8" s="536">
        <v>59.209379493171596</v>
      </c>
      <c r="K8" s="537">
        <v>58.86216616489115</v>
      </c>
      <c r="L8" s="538"/>
    </row>
    <row r="9" spans="1:23" ht="27.75" customHeight="1">
      <c r="A9" s="532" t="s">
        <v>716</v>
      </c>
      <c r="B9" s="535">
        <v>14.648686186186607</v>
      </c>
      <c r="C9" s="535">
        <v>14.575571567555</v>
      </c>
      <c r="D9" s="535">
        <v>15.591008053507991</v>
      </c>
      <c r="E9" s="535">
        <v>15.351328590539021</v>
      </c>
      <c r="F9" s="536">
        <v>56.539312039312037</v>
      </c>
      <c r="G9" s="536">
        <v>46.545421379058737</v>
      </c>
      <c r="H9" s="536">
        <v>76.266529201124854</v>
      </c>
      <c r="I9" s="536">
        <v>78.078257198421426</v>
      </c>
      <c r="J9" s="536">
        <v>72.14492036499378</v>
      </c>
      <c r="K9" s="537">
        <v>74.556323457908306</v>
      </c>
      <c r="L9" s="538"/>
    </row>
    <row r="10" spans="1:23" ht="27.75" customHeight="1" thickBot="1">
      <c r="A10" s="539" t="s">
        <v>759</v>
      </c>
      <c r="B10" s="540">
        <v>10.650449332365023</v>
      </c>
      <c r="C10" s="540">
        <v>11.344647969395185</v>
      </c>
      <c r="D10" s="540">
        <v>11.343769172999536</v>
      </c>
      <c r="E10" s="540">
        <v>11.9506897469028</v>
      </c>
      <c r="F10" s="541">
        <v>44.037595504709543</v>
      </c>
      <c r="G10" s="541">
        <v>36.362506650452232</v>
      </c>
      <c r="H10" s="541">
        <v>81.736561376272888</v>
      </c>
      <c r="I10" s="541">
        <v>81.529631293256799</v>
      </c>
      <c r="J10" s="541">
        <v>77.36404858309298</v>
      </c>
      <c r="K10" s="542">
        <v>77.776421694308993</v>
      </c>
      <c r="L10" s="538"/>
    </row>
    <row r="11" spans="1:23" ht="18.75">
      <c r="A11" s="517" t="s">
        <v>685</v>
      </c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</row>
    <row r="12" spans="1:23" ht="0.75" customHeight="1"/>
    <row r="13" spans="1:23" ht="17.25">
      <c r="A13" s="543"/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5"/>
      <c r="M13" s="545"/>
    </row>
  </sheetData>
  <mergeCells count="6">
    <mergeCell ref="A1:K1"/>
    <mergeCell ref="B2:C2"/>
    <mergeCell ref="D2:E2"/>
    <mergeCell ref="F2:G2"/>
    <mergeCell ref="H2:I2"/>
    <mergeCell ref="J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/>
  </sheetPr>
  <dimension ref="A2:X12"/>
  <sheetViews>
    <sheetView rightToLeft="1" workbookViewId="0">
      <selection activeCell="A2" sqref="A2:P14"/>
    </sheetView>
  </sheetViews>
  <sheetFormatPr defaultColWidth="9" defaultRowHeight="18"/>
  <cols>
    <col min="1" max="1" width="5.25" style="549" customWidth="1"/>
    <col min="2" max="2" width="1.875" style="549" customWidth="1"/>
    <col min="3" max="3" width="9" style="549"/>
    <col min="4" max="9" width="9" style="549" customWidth="1"/>
    <col min="10" max="13" width="9" style="549"/>
    <col min="14" max="14" width="5.375" style="549" customWidth="1"/>
    <col min="15" max="15" width="3.375" style="549" customWidth="1"/>
    <col min="16" max="16" width="7.875" style="549" customWidth="1"/>
    <col min="17" max="17" width="4.75" style="549" customWidth="1"/>
    <col min="18" max="18" width="2.375" style="549" customWidth="1"/>
    <col min="19" max="19" width="0.25" style="549" customWidth="1"/>
    <col min="20" max="20" width="0.875" style="549" customWidth="1"/>
    <col min="21" max="16384" width="9" style="549"/>
  </cols>
  <sheetData>
    <row r="2" spans="1:24" ht="40.5" customHeight="1">
      <c r="A2" s="3048" t="s">
        <v>760</v>
      </c>
      <c r="B2" s="3048"/>
      <c r="C2" s="3048"/>
      <c r="D2" s="3048"/>
      <c r="E2" s="3048"/>
      <c r="F2" s="3048"/>
      <c r="G2" s="3048"/>
      <c r="H2" s="3048"/>
      <c r="I2" s="3048"/>
      <c r="J2" s="3048"/>
      <c r="K2" s="3048"/>
      <c r="L2" s="3048"/>
      <c r="M2" s="3048"/>
      <c r="N2" s="3048"/>
      <c r="O2" s="548"/>
      <c r="P2" s="548"/>
      <c r="Q2" s="548"/>
      <c r="R2" s="548"/>
      <c r="S2" s="548"/>
    </row>
    <row r="3" spans="1:24" ht="33">
      <c r="A3" s="546"/>
      <c r="B3" s="547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48"/>
      <c r="N3" s="548"/>
      <c r="O3" s="548"/>
      <c r="P3" s="548"/>
      <c r="Q3" s="548"/>
      <c r="R3" s="548"/>
      <c r="S3" s="548"/>
    </row>
    <row r="4" spans="1:24" s="555" customFormat="1" ht="30.75" customHeight="1">
      <c r="A4" s="551">
        <v>1</v>
      </c>
      <c r="B4" s="552" t="s">
        <v>95</v>
      </c>
      <c r="C4" s="553" t="s">
        <v>2036</v>
      </c>
      <c r="D4" s="554"/>
      <c r="E4" s="554"/>
      <c r="F4" s="554"/>
      <c r="G4" s="554"/>
      <c r="H4" s="554"/>
      <c r="I4" s="554"/>
    </row>
    <row r="5" spans="1:24" s="555" customFormat="1" ht="39" customHeight="1">
      <c r="A5" s="551"/>
      <c r="B5" s="552"/>
      <c r="C5" s="3046" t="s">
        <v>761</v>
      </c>
      <c r="D5" s="3046"/>
      <c r="E5" s="3046"/>
      <c r="F5" s="3046"/>
      <c r="G5" s="3046"/>
      <c r="H5" s="3046"/>
      <c r="I5" s="3046"/>
      <c r="J5" s="3046"/>
      <c r="K5" s="3046"/>
      <c r="L5" s="3046"/>
      <c r="M5" s="3046"/>
      <c r="N5" s="3046"/>
      <c r="O5" s="3046"/>
      <c r="P5" s="3046"/>
    </row>
    <row r="6" spans="1:24" s="555" customFormat="1" ht="36" customHeight="1">
      <c r="A6" s="551">
        <v>2</v>
      </c>
      <c r="B6" s="552" t="s">
        <v>95</v>
      </c>
      <c r="C6" s="3047" t="s">
        <v>762</v>
      </c>
      <c r="D6" s="3047"/>
      <c r="E6" s="3047"/>
      <c r="F6" s="3047"/>
      <c r="G6" s="3047"/>
      <c r="H6" s="3047"/>
      <c r="I6" s="3047"/>
      <c r="J6" s="3047"/>
      <c r="K6" s="3047"/>
      <c r="L6" s="3047"/>
      <c r="M6" s="3047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</row>
    <row r="7" spans="1:24" s="555" customFormat="1" ht="32.25" customHeight="1">
      <c r="A7" s="557">
        <v>3</v>
      </c>
      <c r="B7" s="552" t="s">
        <v>95</v>
      </c>
      <c r="C7" s="3047" t="s">
        <v>763</v>
      </c>
      <c r="D7" s="3047"/>
      <c r="E7" s="3047"/>
      <c r="F7" s="3047"/>
      <c r="G7" s="3047"/>
      <c r="H7" s="3047"/>
      <c r="I7" s="3047"/>
      <c r="J7" s="3047"/>
      <c r="K7" s="3047"/>
      <c r="L7" s="3047"/>
      <c r="M7" s="3047"/>
      <c r="N7" s="558"/>
      <c r="O7" s="558"/>
      <c r="P7" s="558"/>
      <c r="Q7" s="558"/>
      <c r="R7" s="558"/>
    </row>
    <row r="8" spans="1:24" ht="44.25" customHeight="1">
      <c r="A8" s="559"/>
      <c r="B8" s="560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</row>
    <row r="9" spans="1:24" ht="33">
      <c r="C9" s="3048" t="s">
        <v>764</v>
      </c>
      <c r="D9" s="3048"/>
      <c r="E9" s="3048"/>
      <c r="F9" s="3048"/>
      <c r="G9" s="3048"/>
      <c r="H9" s="3048"/>
      <c r="I9" s="3048"/>
      <c r="J9" s="3048"/>
      <c r="K9" s="3048"/>
      <c r="L9" s="3048"/>
    </row>
    <row r="10" spans="1:24" ht="33">
      <c r="C10" s="550"/>
      <c r="D10" s="550"/>
      <c r="E10" s="550"/>
      <c r="F10" s="550"/>
      <c r="G10" s="550"/>
      <c r="H10" s="550"/>
      <c r="I10" s="550"/>
      <c r="J10" s="550"/>
      <c r="K10" s="550"/>
      <c r="L10" s="550"/>
    </row>
    <row r="11" spans="1:24" s="555" customFormat="1" ht="27">
      <c r="A11" s="551">
        <v>1</v>
      </c>
      <c r="B11" s="552" t="s">
        <v>95</v>
      </c>
      <c r="C11" s="553" t="s">
        <v>765</v>
      </c>
      <c r="D11" s="562"/>
      <c r="E11" s="562"/>
      <c r="F11" s="562"/>
      <c r="G11" s="562"/>
      <c r="H11" s="562"/>
      <c r="I11" s="562"/>
      <c r="J11" s="562"/>
      <c r="K11" s="562"/>
      <c r="L11" s="562"/>
      <c r="M11" s="562"/>
      <c r="N11" s="562"/>
    </row>
    <row r="12" spans="1:24" s="555" customFormat="1" ht="27">
      <c r="A12" s="551">
        <v>2</v>
      </c>
      <c r="B12" s="552" t="s">
        <v>95</v>
      </c>
      <c r="C12" s="562" t="s">
        <v>766</v>
      </c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2"/>
    </row>
  </sheetData>
  <mergeCells count="5">
    <mergeCell ref="C5:P5"/>
    <mergeCell ref="C6:M6"/>
    <mergeCell ref="C7:M7"/>
    <mergeCell ref="C9:L9"/>
    <mergeCell ref="A2:N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Z18"/>
  <sheetViews>
    <sheetView rightToLeft="1" zoomScale="70" zoomScaleNormal="70" workbookViewId="0">
      <selection sqref="A1:X18"/>
    </sheetView>
  </sheetViews>
  <sheetFormatPr defaultColWidth="9.125" defaultRowHeight="12.75"/>
  <cols>
    <col min="1" max="1" width="25.25" style="696" bestFit="1" customWidth="1"/>
    <col min="2" max="23" width="9" style="696" customWidth="1"/>
    <col min="24" max="24" width="16.875" style="696" bestFit="1" customWidth="1"/>
    <col min="25" max="16384" width="9.125" style="696"/>
  </cols>
  <sheetData>
    <row r="1" spans="1:26" ht="34.5" thickBot="1">
      <c r="A1" s="3049" t="s">
        <v>1407</v>
      </c>
      <c r="B1" s="3049"/>
      <c r="C1" s="3049"/>
      <c r="D1" s="3049"/>
      <c r="E1" s="3049"/>
      <c r="F1" s="3049"/>
      <c r="G1" s="3049"/>
      <c r="H1" s="3049"/>
      <c r="I1" s="3049"/>
      <c r="J1" s="3049"/>
      <c r="K1" s="3049"/>
      <c r="L1" s="3049"/>
      <c r="M1" s="3049"/>
      <c r="N1" s="3049"/>
      <c r="O1" s="3049"/>
      <c r="P1" s="3049"/>
      <c r="Q1" s="3049"/>
      <c r="R1" s="3049"/>
      <c r="S1" s="3049"/>
      <c r="T1" s="3049"/>
      <c r="U1" s="3049"/>
      <c r="V1" s="3049"/>
      <c r="W1" s="3049"/>
      <c r="X1" s="3049"/>
    </row>
    <row r="2" spans="1:26" ht="36" customHeight="1" thickBot="1">
      <c r="A2" s="1315" t="s">
        <v>1</v>
      </c>
      <c r="B2" s="2761" t="s">
        <v>2</v>
      </c>
      <c r="C2" s="1316" t="s">
        <v>1408</v>
      </c>
      <c r="D2" s="1317" t="s">
        <v>73</v>
      </c>
      <c r="E2" s="1317" t="s">
        <v>1409</v>
      </c>
      <c r="F2" s="1317" t="s">
        <v>70</v>
      </c>
      <c r="G2" s="1317" t="s">
        <v>1410</v>
      </c>
      <c r="H2" s="1317" t="s">
        <v>1411</v>
      </c>
      <c r="I2" s="1317" t="s">
        <v>1412</v>
      </c>
      <c r="J2" s="1317" t="s">
        <v>1413</v>
      </c>
      <c r="K2" s="1317" t="s">
        <v>1414</v>
      </c>
      <c r="L2" s="1317" t="s">
        <v>401</v>
      </c>
      <c r="M2" s="1317" t="s">
        <v>1415</v>
      </c>
      <c r="N2" s="1317" t="s">
        <v>1416</v>
      </c>
      <c r="O2" s="1317" t="s">
        <v>1393</v>
      </c>
      <c r="P2" s="1317" t="s">
        <v>1391</v>
      </c>
      <c r="Q2" s="1317" t="s">
        <v>86</v>
      </c>
      <c r="R2" s="1317" t="s">
        <v>80</v>
      </c>
      <c r="S2" s="1317" t="s">
        <v>403</v>
      </c>
      <c r="T2" s="1317" t="s">
        <v>85</v>
      </c>
      <c r="U2" s="1317" t="s">
        <v>87</v>
      </c>
      <c r="V2" s="1317" t="s">
        <v>88</v>
      </c>
      <c r="W2" s="2748" t="s">
        <v>84</v>
      </c>
      <c r="X2" s="2755" t="s">
        <v>423</v>
      </c>
    </row>
    <row r="3" spans="1:26" ht="36" customHeight="1">
      <c r="A3" s="2765" t="s">
        <v>1417</v>
      </c>
      <c r="B3" s="2762" t="s">
        <v>1418</v>
      </c>
      <c r="C3" s="2747">
        <v>0</v>
      </c>
      <c r="D3" s="2747">
        <v>0</v>
      </c>
      <c r="E3" s="2747">
        <v>11318</v>
      </c>
      <c r="F3" s="2747">
        <v>13800</v>
      </c>
      <c r="G3" s="2747">
        <v>1200</v>
      </c>
      <c r="H3" s="2747">
        <v>0</v>
      </c>
      <c r="I3" s="2747">
        <v>0</v>
      </c>
      <c r="J3" s="2747">
        <v>11895</v>
      </c>
      <c r="K3" s="2747">
        <v>42700</v>
      </c>
      <c r="L3" s="2747">
        <v>0</v>
      </c>
      <c r="M3" s="2747">
        <v>0</v>
      </c>
      <c r="N3" s="2747">
        <v>0</v>
      </c>
      <c r="O3" s="2747">
        <v>0</v>
      </c>
      <c r="P3" s="2747">
        <v>2820</v>
      </c>
      <c r="Q3" s="2747">
        <f>1890+50</f>
        <v>1940</v>
      </c>
      <c r="R3" s="2747">
        <v>2372</v>
      </c>
      <c r="S3" s="2747">
        <v>0</v>
      </c>
      <c r="T3" s="2747">
        <v>0</v>
      </c>
      <c r="U3" s="2747">
        <v>9300</v>
      </c>
      <c r="V3" s="2747">
        <v>0</v>
      </c>
      <c r="W3" s="2749">
        <v>11620</v>
      </c>
      <c r="X3" s="2756">
        <f>SUM(C3:W3)</f>
        <v>108965</v>
      </c>
    </row>
    <row r="4" spans="1:26" ht="36" customHeight="1">
      <c r="A4" s="2766" t="s">
        <v>1419</v>
      </c>
      <c r="B4" s="2763" t="s">
        <v>1265</v>
      </c>
      <c r="C4" s="1319">
        <v>118</v>
      </c>
      <c r="D4" s="1319">
        <v>8</v>
      </c>
      <c r="E4" s="1319">
        <v>226</v>
      </c>
      <c r="F4" s="1319">
        <v>259</v>
      </c>
      <c r="G4" s="1319">
        <v>213</v>
      </c>
      <c r="H4" s="1319">
        <v>296</v>
      </c>
      <c r="I4" s="1319">
        <v>342</v>
      </c>
      <c r="J4" s="1319">
        <v>417</v>
      </c>
      <c r="K4" s="1319">
        <v>520</v>
      </c>
      <c r="L4" s="1319">
        <v>69</v>
      </c>
      <c r="M4" s="1319">
        <v>540</v>
      </c>
      <c r="N4" s="1319">
        <v>300</v>
      </c>
      <c r="O4" s="1319">
        <v>145</v>
      </c>
      <c r="P4" s="1319">
        <v>376</v>
      </c>
      <c r="Q4" s="1319">
        <v>226</v>
      </c>
      <c r="R4" s="1319">
        <v>525</v>
      </c>
      <c r="S4" s="1319">
        <v>95</v>
      </c>
      <c r="T4" s="1319">
        <v>106</v>
      </c>
      <c r="U4" s="1319">
        <v>177</v>
      </c>
      <c r="V4" s="1319">
        <v>20</v>
      </c>
      <c r="W4" s="2750">
        <v>276</v>
      </c>
      <c r="X4" s="2757">
        <f>SUM(C4:W4)</f>
        <v>5254</v>
      </c>
    </row>
    <row r="5" spans="1:26" ht="36" customHeight="1">
      <c r="A5" s="2766" t="s">
        <v>1420</v>
      </c>
      <c r="B5" s="2763" t="s">
        <v>1421</v>
      </c>
      <c r="C5" s="1320">
        <v>5010</v>
      </c>
      <c r="D5" s="1320">
        <v>8610</v>
      </c>
      <c r="E5" s="1321">
        <v>31170</v>
      </c>
      <c r="F5" s="1322">
        <v>22155</v>
      </c>
      <c r="G5" s="1322">
        <v>4212</v>
      </c>
      <c r="H5" s="1320">
        <v>6740</v>
      </c>
      <c r="I5" s="1322">
        <v>8217</v>
      </c>
      <c r="J5" s="1320">
        <v>23850</v>
      </c>
      <c r="K5" s="1320">
        <v>6399</v>
      </c>
      <c r="L5" s="1320">
        <v>15000</v>
      </c>
      <c r="M5" s="1323">
        <v>11750</v>
      </c>
      <c r="N5" s="1324">
        <v>15510</v>
      </c>
      <c r="O5" s="1320">
        <v>1100</v>
      </c>
      <c r="P5" s="1323">
        <v>12639</v>
      </c>
      <c r="Q5" s="1323">
        <v>5122</v>
      </c>
      <c r="R5" s="1323">
        <v>14487</v>
      </c>
      <c r="S5" s="1323">
        <v>1150</v>
      </c>
      <c r="T5" s="1323">
        <v>8814</v>
      </c>
      <c r="U5" s="1323">
        <v>8100</v>
      </c>
      <c r="V5" s="1323">
        <v>1300</v>
      </c>
      <c r="W5" s="2751">
        <v>16410</v>
      </c>
      <c r="X5" s="2758">
        <f t="shared" ref="X5:X16" si="0">SUM(C5:W5)</f>
        <v>227745</v>
      </c>
    </row>
    <row r="6" spans="1:26" ht="36" customHeight="1">
      <c r="A6" s="2766" t="s">
        <v>1422</v>
      </c>
      <c r="B6" s="2763" t="s">
        <v>1423</v>
      </c>
      <c r="C6" s="1320">
        <v>2357</v>
      </c>
      <c r="D6" s="1320">
        <v>382</v>
      </c>
      <c r="E6" s="1320">
        <v>3114</v>
      </c>
      <c r="F6" s="1322">
        <v>1164</v>
      </c>
      <c r="G6" s="1322">
        <v>2230</v>
      </c>
      <c r="H6" s="1320">
        <v>5057</v>
      </c>
      <c r="I6" s="1322">
        <v>1331</v>
      </c>
      <c r="J6" s="1320">
        <v>5363</v>
      </c>
      <c r="K6" s="1320">
        <v>1135</v>
      </c>
      <c r="L6" s="1320">
        <v>2100</v>
      </c>
      <c r="M6" s="1323">
        <v>1801</v>
      </c>
      <c r="N6" s="1324">
        <v>850</v>
      </c>
      <c r="O6" s="1320">
        <v>800</v>
      </c>
      <c r="P6" s="1323">
        <v>8871</v>
      </c>
      <c r="Q6" s="1323">
        <v>2725</v>
      </c>
      <c r="R6" s="1323">
        <v>1597</v>
      </c>
      <c r="S6" s="1323">
        <v>2303</v>
      </c>
      <c r="T6" s="1323">
        <v>57</v>
      </c>
      <c r="U6" s="1323">
        <v>2020</v>
      </c>
      <c r="V6" s="1323">
        <v>400</v>
      </c>
      <c r="W6" s="2751">
        <v>578</v>
      </c>
      <c r="X6" s="2758">
        <f t="shared" si="0"/>
        <v>46235</v>
      </c>
    </row>
    <row r="7" spans="1:26" ht="36" customHeight="1">
      <c r="A7" s="2766" t="s">
        <v>1424</v>
      </c>
      <c r="B7" s="2763" t="s">
        <v>1425</v>
      </c>
      <c r="C7" s="1320">
        <v>105</v>
      </c>
      <c r="D7" s="1320">
        <v>25</v>
      </c>
      <c r="E7" s="1320">
        <v>0</v>
      </c>
      <c r="F7" s="1322">
        <v>800</v>
      </c>
      <c r="G7" s="1322">
        <v>0</v>
      </c>
      <c r="H7" s="1320">
        <v>1500</v>
      </c>
      <c r="I7" s="1322">
        <v>12</v>
      </c>
      <c r="J7" s="1320">
        <v>7303</v>
      </c>
      <c r="K7" s="1320">
        <v>34540</v>
      </c>
      <c r="L7" s="1320">
        <v>370</v>
      </c>
      <c r="M7" s="1323">
        <v>6650</v>
      </c>
      <c r="N7" s="1324">
        <v>80</v>
      </c>
      <c r="O7" s="1320">
        <v>600</v>
      </c>
      <c r="P7" s="1323">
        <v>32400</v>
      </c>
      <c r="Q7" s="1323">
        <v>0</v>
      </c>
      <c r="R7" s="1323">
        <v>15825</v>
      </c>
      <c r="S7" s="1323">
        <v>630</v>
      </c>
      <c r="T7" s="1323">
        <v>138</v>
      </c>
      <c r="U7" s="1323">
        <v>300</v>
      </c>
      <c r="V7" s="1323">
        <v>130</v>
      </c>
      <c r="W7" s="2751">
        <v>8100</v>
      </c>
      <c r="X7" s="2758">
        <f t="shared" si="0"/>
        <v>109508</v>
      </c>
    </row>
    <row r="8" spans="1:26" ht="36" customHeight="1">
      <c r="A8" s="2766" t="s">
        <v>1426</v>
      </c>
      <c r="B8" s="2763" t="s">
        <v>1421</v>
      </c>
      <c r="C8" s="1320">
        <v>10940</v>
      </c>
      <c r="D8" s="1320">
        <v>2460</v>
      </c>
      <c r="E8" s="1320">
        <v>3260</v>
      </c>
      <c r="F8" s="1322">
        <v>1900</v>
      </c>
      <c r="G8" s="1322">
        <v>4391</v>
      </c>
      <c r="H8" s="1324">
        <v>0</v>
      </c>
      <c r="I8" s="1322">
        <v>2433</v>
      </c>
      <c r="J8" s="1320">
        <v>16839</v>
      </c>
      <c r="K8" s="1320">
        <v>10</v>
      </c>
      <c r="L8" s="1320">
        <v>260</v>
      </c>
      <c r="M8" s="1323">
        <v>7980</v>
      </c>
      <c r="N8" s="1324">
        <v>220</v>
      </c>
      <c r="O8" s="1320">
        <v>15000</v>
      </c>
      <c r="P8" s="1323">
        <v>68400</v>
      </c>
      <c r="Q8" s="1323">
        <v>0</v>
      </c>
      <c r="R8" s="1323">
        <v>11605</v>
      </c>
      <c r="S8" s="1323">
        <v>14550</v>
      </c>
      <c r="T8" s="1323">
        <v>170</v>
      </c>
      <c r="U8" s="1323">
        <v>4400</v>
      </c>
      <c r="V8" s="1323">
        <v>7200</v>
      </c>
      <c r="W8" s="2751">
        <v>26360</v>
      </c>
      <c r="X8" s="2758">
        <f t="shared" si="0"/>
        <v>198378</v>
      </c>
    </row>
    <row r="9" spans="1:26" ht="36" customHeight="1">
      <c r="A9" s="2766" t="s">
        <v>1427</v>
      </c>
      <c r="B9" s="2763" t="s">
        <v>10</v>
      </c>
      <c r="C9" s="1320">
        <v>0</v>
      </c>
      <c r="D9" s="1320">
        <v>3</v>
      </c>
      <c r="E9" s="1320">
        <v>4</v>
      </c>
      <c r="F9" s="1322">
        <v>8</v>
      </c>
      <c r="G9" s="1322">
        <v>8</v>
      </c>
      <c r="H9" s="1320">
        <v>29</v>
      </c>
      <c r="I9" s="1322">
        <v>2</v>
      </c>
      <c r="J9" s="1320">
        <v>1</v>
      </c>
      <c r="K9" s="1320">
        <v>0</v>
      </c>
      <c r="L9" s="1324">
        <v>0</v>
      </c>
      <c r="M9" s="1323">
        <v>40</v>
      </c>
      <c r="N9" s="1324">
        <v>9</v>
      </c>
      <c r="O9" s="1320">
        <v>6</v>
      </c>
      <c r="P9" s="1323">
        <v>2</v>
      </c>
      <c r="Q9" s="1323">
        <v>6</v>
      </c>
      <c r="R9" s="1323">
        <v>12</v>
      </c>
      <c r="S9" s="1323">
        <v>6</v>
      </c>
      <c r="T9" s="1323">
        <v>1</v>
      </c>
      <c r="U9" s="1323">
        <v>1</v>
      </c>
      <c r="V9" s="1323">
        <v>0</v>
      </c>
      <c r="W9" s="2751">
        <v>20</v>
      </c>
      <c r="X9" s="2758">
        <f t="shared" si="0"/>
        <v>158</v>
      </c>
    </row>
    <row r="10" spans="1:26" ht="36" customHeight="1">
      <c r="A10" s="2766" t="s">
        <v>1428</v>
      </c>
      <c r="B10" s="2763" t="s">
        <v>10</v>
      </c>
      <c r="C10" s="1320">
        <v>1195</v>
      </c>
      <c r="D10" s="1320">
        <v>2700</v>
      </c>
      <c r="E10" s="1320">
        <v>274</v>
      </c>
      <c r="F10" s="1322">
        <v>80</v>
      </c>
      <c r="G10" s="1322">
        <v>240</v>
      </c>
      <c r="H10" s="1320">
        <v>1533</v>
      </c>
      <c r="I10" s="1322">
        <v>2165</v>
      </c>
      <c r="J10" s="1320">
        <v>1219</v>
      </c>
      <c r="K10" s="1320">
        <v>2400</v>
      </c>
      <c r="L10" s="1324">
        <v>120</v>
      </c>
      <c r="M10" s="1323">
        <v>1404</v>
      </c>
      <c r="N10" s="1324">
        <v>2200</v>
      </c>
      <c r="O10" s="1320">
        <v>72</v>
      </c>
      <c r="P10" s="1323">
        <v>1964</v>
      </c>
      <c r="Q10" s="1323">
        <v>53</v>
      </c>
      <c r="R10" s="1323">
        <v>113</v>
      </c>
      <c r="S10" s="1323">
        <v>57</v>
      </c>
      <c r="T10" s="1323">
        <v>3937</v>
      </c>
      <c r="U10" s="1323">
        <v>5</v>
      </c>
      <c r="V10" s="1323">
        <v>140</v>
      </c>
      <c r="W10" s="2751">
        <v>4541</v>
      </c>
      <c r="X10" s="2758">
        <f t="shared" si="0"/>
        <v>26412</v>
      </c>
    </row>
    <row r="11" spans="1:26" ht="36" customHeight="1">
      <c r="A11" s="2766" t="s">
        <v>1429</v>
      </c>
      <c r="B11" s="2763" t="s">
        <v>1430</v>
      </c>
      <c r="C11" s="1320">
        <v>440</v>
      </c>
      <c r="D11" s="1320">
        <v>75</v>
      </c>
      <c r="E11" s="1320">
        <v>121</v>
      </c>
      <c r="F11" s="1322">
        <v>190</v>
      </c>
      <c r="G11" s="1322">
        <v>504</v>
      </c>
      <c r="H11" s="1322">
        <v>176</v>
      </c>
      <c r="I11" s="1320">
        <v>561</v>
      </c>
      <c r="J11" s="1320">
        <v>36149</v>
      </c>
      <c r="K11" s="1320">
        <v>364</v>
      </c>
      <c r="L11" s="1320">
        <v>260</v>
      </c>
      <c r="M11" s="1323">
        <v>5360</v>
      </c>
      <c r="N11" s="1320">
        <v>605</v>
      </c>
      <c r="O11" s="1320">
        <v>56</v>
      </c>
      <c r="P11" s="1320">
        <v>11629</v>
      </c>
      <c r="Q11" s="1320">
        <v>454</v>
      </c>
      <c r="R11" s="1322">
        <v>510</v>
      </c>
      <c r="S11" s="1320">
        <v>131</v>
      </c>
      <c r="T11" s="1320">
        <v>25</v>
      </c>
      <c r="U11" s="1320">
        <v>510</v>
      </c>
      <c r="V11" s="1323">
        <v>5</v>
      </c>
      <c r="W11" s="2751">
        <v>237</v>
      </c>
      <c r="X11" s="2758">
        <f t="shared" si="0"/>
        <v>58362</v>
      </c>
    </row>
    <row r="12" spans="1:26" ht="36" customHeight="1">
      <c r="A12" s="2766" t="s">
        <v>1431</v>
      </c>
      <c r="B12" s="2763" t="s">
        <v>1418</v>
      </c>
      <c r="C12" s="1320">
        <v>0</v>
      </c>
      <c r="D12" s="1320">
        <v>2300</v>
      </c>
      <c r="E12" s="1320">
        <v>1826</v>
      </c>
      <c r="F12" s="1322">
        <v>1093</v>
      </c>
      <c r="G12" s="1322">
        <v>0</v>
      </c>
      <c r="H12" s="1322">
        <v>5000</v>
      </c>
      <c r="I12" s="1320">
        <v>170</v>
      </c>
      <c r="J12" s="1320">
        <v>0</v>
      </c>
      <c r="K12" s="1320">
        <v>0</v>
      </c>
      <c r="L12" s="1320">
        <v>0</v>
      </c>
      <c r="M12" s="1323">
        <v>1200</v>
      </c>
      <c r="N12" s="1320">
        <v>0</v>
      </c>
      <c r="O12" s="1320">
        <v>1000</v>
      </c>
      <c r="P12" s="1320">
        <v>160</v>
      </c>
      <c r="Q12" s="1320">
        <v>0</v>
      </c>
      <c r="R12" s="1322">
        <v>20529</v>
      </c>
      <c r="S12" s="1320">
        <v>4000</v>
      </c>
      <c r="T12" s="1320">
        <v>237</v>
      </c>
      <c r="U12" s="1320">
        <v>0</v>
      </c>
      <c r="V12" s="1323">
        <v>0</v>
      </c>
      <c r="W12" s="2751">
        <v>0</v>
      </c>
      <c r="X12" s="2758">
        <f t="shared" si="0"/>
        <v>37515</v>
      </c>
    </row>
    <row r="13" spans="1:26" ht="36" customHeight="1">
      <c r="A13" s="2766" t="s">
        <v>1432</v>
      </c>
      <c r="B13" s="2763" t="s">
        <v>1265</v>
      </c>
      <c r="C13" s="1320">
        <v>0</v>
      </c>
      <c r="D13" s="1320">
        <v>0</v>
      </c>
      <c r="E13" s="1325">
        <v>0</v>
      </c>
      <c r="F13" s="1322">
        <v>0</v>
      </c>
      <c r="G13" s="1322">
        <v>0</v>
      </c>
      <c r="H13" s="1322">
        <v>0</v>
      </c>
      <c r="I13" s="1322">
        <v>0</v>
      </c>
      <c r="J13" s="1322">
        <v>0</v>
      </c>
      <c r="K13" s="1322">
        <v>0</v>
      </c>
      <c r="L13" s="1322">
        <v>0</v>
      </c>
      <c r="M13" s="1322">
        <v>0</v>
      </c>
      <c r="N13" s="1322">
        <v>0</v>
      </c>
      <c r="O13" s="1322">
        <v>0</v>
      </c>
      <c r="P13" s="1322">
        <v>0</v>
      </c>
      <c r="Q13" s="1322">
        <v>0</v>
      </c>
      <c r="R13" s="1322">
        <v>0</v>
      </c>
      <c r="S13" s="1322">
        <v>0</v>
      </c>
      <c r="T13" s="1322">
        <v>0</v>
      </c>
      <c r="U13" s="1322">
        <v>0</v>
      </c>
      <c r="V13" s="1322">
        <v>0</v>
      </c>
      <c r="W13" s="2752">
        <v>0</v>
      </c>
      <c r="X13" s="2759">
        <f t="shared" si="0"/>
        <v>0</v>
      </c>
      <c r="Z13" s="1326"/>
    </row>
    <row r="14" spans="1:26" ht="36" customHeight="1">
      <c r="A14" s="2766" t="s">
        <v>1433</v>
      </c>
      <c r="B14" s="2763" t="s">
        <v>1265</v>
      </c>
      <c r="C14" s="1325">
        <v>0</v>
      </c>
      <c r="D14" s="1325">
        <v>0</v>
      </c>
      <c r="E14" s="1325">
        <v>0</v>
      </c>
      <c r="F14" s="1325">
        <v>0</v>
      </c>
      <c r="G14" s="1325">
        <v>0</v>
      </c>
      <c r="H14" s="1325">
        <v>7</v>
      </c>
      <c r="I14" s="1325">
        <v>1.75</v>
      </c>
      <c r="J14" s="1325">
        <v>0</v>
      </c>
      <c r="K14" s="1325">
        <v>0</v>
      </c>
      <c r="L14" s="1325">
        <v>9.5</v>
      </c>
      <c r="M14" s="1325">
        <v>0</v>
      </c>
      <c r="N14" s="1325">
        <v>42.4</v>
      </c>
      <c r="O14" s="1324">
        <v>0</v>
      </c>
      <c r="P14" s="1324">
        <v>0</v>
      </c>
      <c r="Q14" s="1324">
        <v>0</v>
      </c>
      <c r="R14" s="1325">
        <v>0.75</v>
      </c>
      <c r="S14" s="1324">
        <v>0</v>
      </c>
      <c r="T14" s="1324">
        <v>0</v>
      </c>
      <c r="U14" s="1324">
        <v>0</v>
      </c>
      <c r="V14" s="1324">
        <v>0</v>
      </c>
      <c r="W14" s="2753">
        <v>0</v>
      </c>
      <c r="X14" s="2759">
        <f t="shared" si="0"/>
        <v>61.4</v>
      </c>
      <c r="Z14" s="1327"/>
    </row>
    <row r="15" spans="1:26" ht="36" customHeight="1">
      <c r="A15" s="2766" t="s">
        <v>1434</v>
      </c>
      <c r="B15" s="2763" t="s">
        <v>1435</v>
      </c>
      <c r="C15" s="1318">
        <v>0</v>
      </c>
      <c r="D15" s="1319">
        <v>0</v>
      </c>
      <c r="E15" s="1319">
        <v>0</v>
      </c>
      <c r="F15" s="1319">
        <v>113</v>
      </c>
      <c r="G15" s="1319">
        <v>411</v>
      </c>
      <c r="H15" s="1319">
        <v>40</v>
      </c>
      <c r="I15" s="1319">
        <v>635</v>
      </c>
      <c r="J15" s="1319">
        <v>0</v>
      </c>
      <c r="K15" s="1319">
        <v>0</v>
      </c>
      <c r="L15" s="1319">
        <v>0</v>
      </c>
      <c r="M15" s="1319">
        <v>203</v>
      </c>
      <c r="N15" s="1319">
        <v>96</v>
      </c>
      <c r="O15" s="1319">
        <v>0</v>
      </c>
      <c r="P15" s="1319">
        <v>631</v>
      </c>
      <c r="Q15" s="1319">
        <v>187</v>
      </c>
      <c r="R15" s="1319">
        <v>235</v>
      </c>
      <c r="S15" s="1319">
        <v>0</v>
      </c>
      <c r="T15" s="1319">
        <v>0</v>
      </c>
      <c r="U15" s="1319">
        <v>229</v>
      </c>
      <c r="V15" s="1319">
        <v>7180</v>
      </c>
      <c r="W15" s="2750">
        <v>0</v>
      </c>
      <c r="X15" s="2758">
        <f t="shared" si="0"/>
        <v>9960</v>
      </c>
    </row>
    <row r="16" spans="1:26" ht="36" customHeight="1" thickBot="1">
      <c r="A16" s="2767" t="s">
        <v>1436</v>
      </c>
      <c r="B16" s="2764" t="s">
        <v>1418</v>
      </c>
      <c r="C16" s="2746">
        <v>612</v>
      </c>
      <c r="D16" s="2746">
        <v>0</v>
      </c>
      <c r="E16" s="2746">
        <v>15616</v>
      </c>
      <c r="F16" s="2746">
        <v>1000</v>
      </c>
      <c r="G16" s="2746">
        <v>600</v>
      </c>
      <c r="H16" s="2746">
        <v>7800</v>
      </c>
      <c r="I16" s="2746">
        <v>0</v>
      </c>
      <c r="J16" s="2746">
        <v>10152</v>
      </c>
      <c r="K16" s="2746">
        <v>0</v>
      </c>
      <c r="L16" s="2746">
        <v>3000</v>
      </c>
      <c r="M16" s="2746">
        <v>0</v>
      </c>
      <c r="N16" s="2746">
        <v>0</v>
      </c>
      <c r="O16" s="2746">
        <v>600</v>
      </c>
      <c r="P16" s="2746">
        <v>0</v>
      </c>
      <c r="Q16" s="2746">
        <v>0</v>
      </c>
      <c r="R16" s="2746">
        <v>2235</v>
      </c>
      <c r="S16" s="2746">
        <v>32328</v>
      </c>
      <c r="T16" s="2746">
        <v>0</v>
      </c>
      <c r="U16" s="2746">
        <v>3000</v>
      </c>
      <c r="V16" s="2746">
        <v>0</v>
      </c>
      <c r="W16" s="2754">
        <v>0</v>
      </c>
      <c r="X16" s="2760">
        <f t="shared" si="0"/>
        <v>76943</v>
      </c>
    </row>
    <row r="17" spans="1:2" ht="7.5" customHeight="1"/>
    <row r="18" spans="1:2" ht="25.5" customHeight="1">
      <c r="A18" s="3050" t="s">
        <v>1437</v>
      </c>
      <c r="B18" s="3050"/>
    </row>
  </sheetData>
  <mergeCells count="2">
    <mergeCell ref="A1:X1"/>
    <mergeCell ref="A18:B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B1:N20"/>
  <sheetViews>
    <sheetView rightToLeft="1" topLeftCell="A3" zoomScale="110" zoomScaleNormal="110" workbookViewId="0">
      <selection activeCell="I11" sqref="I11"/>
    </sheetView>
  </sheetViews>
  <sheetFormatPr defaultColWidth="9" defaultRowHeight="19.5"/>
  <cols>
    <col min="1" max="1" width="9" style="77"/>
    <col min="2" max="2" width="21.25" style="77" customWidth="1"/>
    <col min="3" max="3" width="2.75" style="77" customWidth="1"/>
    <col min="4" max="4" width="12.375" style="77" customWidth="1"/>
    <col min="5" max="5" width="14.75" style="77" customWidth="1"/>
    <col min="6" max="6" width="13.875" style="77" customWidth="1"/>
    <col min="7" max="7" width="14.125" style="77" customWidth="1"/>
    <col min="8" max="8" width="9" style="77" customWidth="1"/>
    <col min="9" max="9" width="8.75" style="77" customWidth="1"/>
    <col min="10" max="12" width="9" style="77"/>
    <col min="13" max="14" width="23.375" style="651" customWidth="1"/>
    <col min="15" max="15" width="10.125" style="77" customWidth="1"/>
    <col min="16" max="16" width="9" style="77"/>
    <col min="17" max="17" width="11" style="77" bestFit="1" customWidth="1"/>
    <col min="18" max="16384" width="9" style="77"/>
  </cols>
  <sheetData>
    <row r="1" spans="2:14" ht="20.25" thickBot="1"/>
    <row r="2" spans="2:14" ht="37.5" customHeight="1" thickBot="1">
      <c r="B2" s="3054" t="s">
        <v>826</v>
      </c>
      <c r="C2" s="3055"/>
      <c r="D2" s="3055"/>
      <c r="E2" s="3055"/>
      <c r="F2" s="3055"/>
      <c r="G2" s="3056"/>
    </row>
    <row r="3" spans="2:14" ht="26.25" customHeight="1">
      <c r="B3" s="3057" t="s">
        <v>1</v>
      </c>
      <c r="C3" s="3058"/>
      <c r="D3" s="3059"/>
      <c r="E3" s="3063" t="s">
        <v>283</v>
      </c>
      <c r="F3" s="3064"/>
      <c r="G3" s="3059" t="s">
        <v>825</v>
      </c>
    </row>
    <row r="4" spans="2:14" ht="26.25" customHeight="1" thickBot="1">
      <c r="B4" s="3060"/>
      <c r="C4" s="3061"/>
      <c r="D4" s="3062"/>
      <c r="E4" s="78">
        <v>1401</v>
      </c>
      <c r="F4" s="78">
        <v>1402</v>
      </c>
      <c r="G4" s="3062"/>
    </row>
    <row r="5" spans="2:14" ht="22.5" customHeight="1">
      <c r="B5" s="3065" t="s">
        <v>824</v>
      </c>
      <c r="C5" s="3066"/>
      <c r="D5" s="3067"/>
      <c r="E5" s="668"/>
      <c r="F5" s="668"/>
      <c r="G5" s="668"/>
    </row>
    <row r="6" spans="2:14" ht="22.5" customHeight="1">
      <c r="B6" s="3051" t="s">
        <v>822</v>
      </c>
      <c r="C6" s="3052"/>
      <c r="D6" s="3053"/>
      <c r="E6" s="660">
        <v>87218631</v>
      </c>
      <c r="F6" s="660">
        <v>67330458</v>
      </c>
      <c r="G6" s="2774">
        <f>(F6-E6)/E6</f>
        <v>-0.22802665866195493</v>
      </c>
      <c r="I6" s="658"/>
      <c r="J6" s="79"/>
      <c r="L6" s="463"/>
      <c r="M6" s="77"/>
      <c r="N6" s="77"/>
    </row>
    <row r="7" spans="2:14" ht="18" customHeight="1">
      <c r="B7" s="391"/>
      <c r="C7" s="470"/>
      <c r="D7" s="668"/>
      <c r="E7" s="661"/>
      <c r="F7" s="661"/>
      <c r="G7" s="659"/>
      <c r="I7" s="658"/>
      <c r="M7" s="77"/>
      <c r="N7" s="77"/>
    </row>
    <row r="8" spans="2:14" ht="18" customHeight="1">
      <c r="B8" s="3065" t="s">
        <v>823</v>
      </c>
      <c r="C8" s="3066"/>
      <c r="D8" s="3067"/>
      <c r="E8" s="661"/>
      <c r="F8" s="661"/>
      <c r="G8" s="659"/>
      <c r="I8" s="658"/>
      <c r="M8" s="77"/>
      <c r="N8" s="77"/>
    </row>
    <row r="9" spans="2:14" ht="18" customHeight="1">
      <c r="B9" s="391"/>
      <c r="C9" s="470"/>
      <c r="D9" s="668"/>
      <c r="E9" s="661"/>
      <c r="F9" s="661"/>
      <c r="G9" s="659"/>
      <c r="I9" s="658"/>
      <c r="K9" s="79"/>
      <c r="M9" s="77"/>
      <c r="N9" s="77"/>
    </row>
    <row r="10" spans="2:14" ht="27" customHeight="1">
      <c r="B10" s="3051" t="s">
        <v>822</v>
      </c>
      <c r="C10" s="3052"/>
      <c r="D10" s="3053"/>
      <c r="E10" s="660">
        <v>10771908</v>
      </c>
      <c r="F10" s="660">
        <v>11044956</v>
      </c>
      <c r="G10" s="449">
        <f>(F10-E10)/E10</f>
        <v>2.5348155591377125E-2</v>
      </c>
      <c r="I10" s="658"/>
      <c r="J10" s="79"/>
      <c r="M10" s="77"/>
      <c r="N10" s="77"/>
    </row>
    <row r="11" spans="2:14" ht="27" customHeight="1">
      <c r="B11" s="391"/>
      <c r="C11" s="470"/>
      <c r="D11" s="668"/>
      <c r="E11" s="660"/>
      <c r="F11" s="660"/>
      <c r="G11" s="659"/>
      <c r="I11" s="658"/>
      <c r="J11" s="79"/>
      <c r="M11" s="77"/>
      <c r="N11" s="77"/>
    </row>
    <row r="12" spans="2:14" ht="26.25" customHeight="1">
      <c r="B12" s="3065" t="s">
        <v>821</v>
      </c>
      <c r="C12" s="3066"/>
      <c r="D12" s="3067"/>
      <c r="E12" s="661"/>
      <c r="F12" s="661"/>
      <c r="G12" s="659"/>
      <c r="I12" s="658"/>
      <c r="J12" s="79"/>
    </row>
    <row r="13" spans="2:14" ht="18" customHeight="1">
      <c r="B13" s="666" t="s">
        <v>820</v>
      </c>
      <c r="C13" s="665"/>
      <c r="D13" s="662" t="s">
        <v>819</v>
      </c>
      <c r="E13" s="661">
        <v>3385005</v>
      </c>
      <c r="F13" s="667">
        <v>3483290</v>
      </c>
      <c r="G13" s="449">
        <f>(F13-E13)/E13</f>
        <v>2.9035407628644566E-2</v>
      </c>
      <c r="I13" s="658"/>
      <c r="J13" s="79"/>
    </row>
    <row r="14" spans="2:14" ht="18" customHeight="1">
      <c r="B14" s="666"/>
      <c r="C14" s="665"/>
      <c r="D14" s="662"/>
      <c r="E14" s="661"/>
      <c r="F14" s="661"/>
      <c r="G14" s="659"/>
      <c r="I14" s="658"/>
      <c r="J14" s="658"/>
    </row>
    <row r="15" spans="2:14" ht="22.5" customHeight="1">
      <c r="B15" s="3065" t="s">
        <v>818</v>
      </c>
      <c r="C15" s="3066"/>
      <c r="D15" s="3067"/>
      <c r="E15" s="661"/>
      <c r="F15" s="661"/>
      <c r="G15" s="659"/>
      <c r="I15" s="658"/>
    </row>
    <row r="16" spans="2:14" ht="11.25" customHeight="1">
      <c r="B16" s="664"/>
      <c r="C16" s="663"/>
      <c r="D16" s="662"/>
      <c r="E16" s="661"/>
      <c r="F16" s="661"/>
      <c r="G16" s="659"/>
      <c r="I16" s="658"/>
    </row>
    <row r="17" spans="2:10" ht="22.5" customHeight="1">
      <c r="B17" s="3051" t="s">
        <v>817</v>
      </c>
      <c r="C17" s="3052"/>
      <c r="D17" s="3053"/>
      <c r="E17" s="660">
        <v>1512511</v>
      </c>
      <c r="F17" s="660">
        <v>1578211</v>
      </c>
      <c r="G17" s="449">
        <f>(F17-E17)/E17</f>
        <v>4.3437700618375666E-2</v>
      </c>
      <c r="I17" s="658"/>
      <c r="J17" s="79"/>
    </row>
    <row r="18" spans="2:10" ht="11.25" customHeight="1" thickBot="1">
      <c r="B18" s="657"/>
      <c r="C18" s="656"/>
      <c r="D18" s="655"/>
      <c r="E18" s="654"/>
      <c r="F18" s="654"/>
      <c r="G18" s="653" t="s">
        <v>302</v>
      </c>
      <c r="J18" s="652"/>
    </row>
    <row r="19" spans="2:10" ht="18" customHeight="1">
      <c r="B19" s="3069" t="s">
        <v>816</v>
      </c>
      <c r="C19" s="3069"/>
    </row>
    <row r="20" spans="2:10">
      <c r="B20" s="3068"/>
      <c r="C20" s="3068"/>
      <c r="D20" s="3068"/>
      <c r="E20" s="3068"/>
      <c r="F20" s="76"/>
      <c r="G20" s="76"/>
    </row>
  </sheetData>
  <mergeCells count="13">
    <mergeCell ref="B20:E20"/>
    <mergeCell ref="B8:D8"/>
    <mergeCell ref="B10:D10"/>
    <mergeCell ref="B12:D12"/>
    <mergeCell ref="B15:D15"/>
    <mergeCell ref="B17:D17"/>
    <mergeCell ref="B19:C19"/>
    <mergeCell ref="B6:D6"/>
    <mergeCell ref="B2:G2"/>
    <mergeCell ref="B3:D4"/>
    <mergeCell ref="E3:F3"/>
    <mergeCell ref="G3:G4"/>
    <mergeCell ref="B5:D5"/>
  </mergeCells>
  <printOptions horizontalCentered="1" verticalCentered="1"/>
  <pageMargins left="0.74803149606299213" right="0.74803149606299213" top="0.98425196850393704" bottom="0.98425196850393704" header="0" footer="0"/>
  <pageSetup paperSize="9" firstPageNumber="65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28"/>
  <sheetViews>
    <sheetView rightToLeft="1" topLeftCell="A17" workbookViewId="0">
      <selection activeCell="E26" sqref="A3:E26"/>
    </sheetView>
  </sheetViews>
  <sheetFormatPr defaultColWidth="9" defaultRowHeight="14.25"/>
  <cols>
    <col min="1" max="1" width="12.375" style="1884" customWidth="1"/>
    <col min="2" max="2" width="13.125" style="1884" customWidth="1"/>
    <col min="3" max="3" width="13.375" style="1884" customWidth="1"/>
    <col min="4" max="4" width="14.75" style="1884" customWidth="1"/>
    <col min="5" max="5" width="22" style="1884" customWidth="1"/>
    <col min="6" max="6" width="13.375" style="1884" customWidth="1"/>
    <col min="7" max="16384" width="9" style="1884"/>
  </cols>
  <sheetData>
    <row r="1" spans="1:7" ht="19.5">
      <c r="A1" s="3071" t="s">
        <v>2015</v>
      </c>
      <c r="B1" s="3071"/>
      <c r="C1" s="3071"/>
      <c r="D1" s="3071"/>
      <c r="E1" s="3071"/>
    </row>
    <row r="2" spans="1:7" ht="15" thickBot="1">
      <c r="A2" s="3072" t="s">
        <v>831</v>
      </c>
      <c r="B2" s="3072"/>
      <c r="C2" s="3072"/>
      <c r="D2" s="3072"/>
      <c r="E2" s="3072"/>
    </row>
    <row r="3" spans="1:7" ht="19.5">
      <c r="A3" s="3073" t="s">
        <v>830</v>
      </c>
      <c r="B3" s="3075" t="s">
        <v>283</v>
      </c>
      <c r="C3" s="3076"/>
      <c r="D3" s="3073" t="s">
        <v>318</v>
      </c>
      <c r="E3" s="3077" t="s">
        <v>284</v>
      </c>
    </row>
    <row r="4" spans="1:7" ht="22.5">
      <c r="A4" s="3074"/>
      <c r="B4" s="2770">
        <v>1401</v>
      </c>
      <c r="C4" s="1885">
        <v>1402</v>
      </c>
      <c r="D4" s="3074"/>
      <c r="E4" s="3078"/>
    </row>
    <row r="5" spans="1:7" ht="22.5">
      <c r="A5" s="2773" t="s">
        <v>82</v>
      </c>
      <c r="B5" s="2771">
        <v>6929</v>
      </c>
      <c r="C5" s="2768">
        <v>7238</v>
      </c>
      <c r="D5" s="2769">
        <v>309</v>
      </c>
      <c r="E5" s="2775">
        <f>+D5/B5</f>
        <v>4.4595179679607445E-2</v>
      </c>
      <c r="G5" s="2776"/>
    </row>
    <row r="6" spans="1:7" ht="22.5">
      <c r="A6" s="2773" t="s">
        <v>77</v>
      </c>
      <c r="B6" s="2771">
        <v>6496</v>
      </c>
      <c r="C6" s="2768">
        <v>6750</v>
      </c>
      <c r="D6" s="2769">
        <v>254</v>
      </c>
      <c r="E6" s="2775">
        <f t="shared" ref="E6:E26" si="0">+D6/B6</f>
        <v>3.9100985221674878E-2</v>
      </c>
    </row>
    <row r="7" spans="1:7" ht="22.5">
      <c r="A7" s="2773" t="s">
        <v>483</v>
      </c>
      <c r="B7" s="2771">
        <v>23420</v>
      </c>
      <c r="C7" s="2768">
        <v>26942</v>
      </c>
      <c r="D7" s="2769">
        <v>3522</v>
      </c>
      <c r="E7" s="2775">
        <f t="shared" si="0"/>
        <v>0.15038428693424424</v>
      </c>
    </row>
    <row r="8" spans="1:7" ht="22.5">
      <c r="A8" s="2773" t="s">
        <v>828</v>
      </c>
      <c r="B8" s="2771">
        <v>9288</v>
      </c>
      <c r="C8" s="2768">
        <v>9856</v>
      </c>
      <c r="D8" s="2769">
        <v>568</v>
      </c>
      <c r="E8" s="2775">
        <f t="shared" si="0"/>
        <v>6.1154177433247199E-2</v>
      </c>
    </row>
    <row r="9" spans="1:7" ht="22.5">
      <c r="A9" s="2773" t="s">
        <v>87</v>
      </c>
      <c r="B9" s="2771">
        <v>21963</v>
      </c>
      <c r="C9" s="2768">
        <v>22119</v>
      </c>
      <c r="D9" s="2769">
        <v>156</v>
      </c>
      <c r="E9" s="2775">
        <f t="shared" si="0"/>
        <v>7.1028548012566587E-3</v>
      </c>
    </row>
    <row r="10" spans="1:7" ht="22.5">
      <c r="A10" s="2773" t="s">
        <v>76</v>
      </c>
      <c r="B10" s="2771">
        <v>60317</v>
      </c>
      <c r="C10" s="2768">
        <v>57979</v>
      </c>
      <c r="D10" s="2769">
        <v>-2338</v>
      </c>
      <c r="E10" s="2775">
        <f t="shared" si="0"/>
        <v>-3.8761874761675814E-2</v>
      </c>
    </row>
    <row r="11" spans="1:7" ht="22.5">
      <c r="A11" s="776" t="s">
        <v>827</v>
      </c>
      <c r="B11" s="2772">
        <v>36</v>
      </c>
      <c r="C11" s="2768">
        <v>35</v>
      </c>
      <c r="D11" s="2769">
        <v>-1</v>
      </c>
      <c r="E11" s="2775">
        <f t="shared" si="0"/>
        <v>-2.7777777777777776E-2</v>
      </c>
    </row>
    <row r="12" spans="1:7" ht="22.5">
      <c r="A12" s="2773" t="s">
        <v>402</v>
      </c>
      <c r="B12" s="2771">
        <v>55763</v>
      </c>
      <c r="C12" s="2768">
        <v>53087</v>
      </c>
      <c r="D12" s="2769">
        <v>-2676</v>
      </c>
      <c r="E12" s="2775">
        <f t="shared" si="0"/>
        <v>-4.7988809784265556E-2</v>
      </c>
    </row>
    <row r="13" spans="1:7" ht="22.5">
      <c r="A13" s="2773" t="s">
        <v>829</v>
      </c>
      <c r="B13" s="2771">
        <v>65669</v>
      </c>
      <c r="C13" s="2768">
        <v>59945</v>
      </c>
      <c r="D13" s="2769">
        <v>-5724</v>
      </c>
      <c r="E13" s="2775">
        <f t="shared" si="0"/>
        <v>-8.7164415477622617E-2</v>
      </c>
    </row>
    <row r="14" spans="1:7" ht="22.5">
      <c r="A14" s="2773" t="s">
        <v>79</v>
      </c>
      <c r="B14" s="2771">
        <v>51072</v>
      </c>
      <c r="C14" s="2768">
        <v>49052</v>
      </c>
      <c r="D14" s="2769">
        <v>-2020</v>
      </c>
      <c r="E14" s="2775">
        <f t="shared" si="0"/>
        <v>-3.9552005012531331E-2</v>
      </c>
    </row>
    <row r="15" spans="1:7" ht="22.5">
      <c r="A15" s="2773" t="s">
        <v>68</v>
      </c>
      <c r="B15" s="2771">
        <v>9996</v>
      </c>
      <c r="C15" s="2768">
        <v>10161</v>
      </c>
      <c r="D15" s="2769">
        <v>165</v>
      </c>
      <c r="E15" s="2775">
        <f t="shared" si="0"/>
        <v>1.6506602641056422E-2</v>
      </c>
    </row>
    <row r="16" spans="1:7" ht="22.5">
      <c r="A16" s="2773" t="s">
        <v>78</v>
      </c>
      <c r="B16" s="2771">
        <v>13341</v>
      </c>
      <c r="C16" s="2768">
        <v>9648</v>
      </c>
      <c r="D16" s="2769">
        <v>-3693</v>
      </c>
      <c r="E16" s="2775">
        <f t="shared" si="0"/>
        <v>-0.27681583089723411</v>
      </c>
    </row>
    <row r="17" spans="1:5" ht="22.5">
      <c r="A17" s="2773" t="s">
        <v>1293</v>
      </c>
      <c r="B17" s="2771">
        <v>8776</v>
      </c>
      <c r="C17" s="2768">
        <v>6852</v>
      </c>
      <c r="D17" s="2769">
        <v>-1924</v>
      </c>
      <c r="E17" s="2775">
        <f t="shared" si="0"/>
        <v>-0.21923427529626252</v>
      </c>
    </row>
    <row r="18" spans="1:5" ht="22.5">
      <c r="A18" s="2773" t="s">
        <v>86</v>
      </c>
      <c r="B18" s="2771">
        <v>19640</v>
      </c>
      <c r="C18" s="2768">
        <v>19345</v>
      </c>
      <c r="D18" s="2769">
        <v>-295</v>
      </c>
      <c r="E18" s="2775">
        <f t="shared" si="0"/>
        <v>-1.5020366598778005E-2</v>
      </c>
    </row>
    <row r="19" spans="1:5" ht="22.5">
      <c r="A19" s="1406" t="s">
        <v>482</v>
      </c>
      <c r="B19" s="2771">
        <v>2870</v>
      </c>
      <c r="C19" s="2768">
        <v>2345</v>
      </c>
      <c r="D19" s="2769">
        <v>-525</v>
      </c>
      <c r="E19" s="2775">
        <f t="shared" si="0"/>
        <v>-0.18292682926829268</v>
      </c>
    </row>
    <row r="20" spans="1:5" ht="22.5">
      <c r="A20" s="2773" t="s">
        <v>85</v>
      </c>
      <c r="B20" s="2771">
        <v>5377</v>
      </c>
      <c r="C20" s="2768">
        <v>4310</v>
      </c>
      <c r="D20" s="2769">
        <v>-1067</v>
      </c>
      <c r="E20" s="2775">
        <f t="shared" si="0"/>
        <v>-0.19843779058954808</v>
      </c>
    </row>
    <row r="21" spans="1:5" ht="22.5">
      <c r="A21" s="2773" t="s">
        <v>84</v>
      </c>
      <c r="B21" s="2771">
        <v>39828</v>
      </c>
      <c r="C21" s="2768">
        <v>46323</v>
      </c>
      <c r="D21" s="2769">
        <v>6495</v>
      </c>
      <c r="E21" s="2775">
        <f t="shared" si="0"/>
        <v>0.16307622777945163</v>
      </c>
    </row>
    <row r="22" spans="1:5" ht="22.5">
      <c r="A22" s="2773" t="s">
        <v>83</v>
      </c>
      <c r="B22" s="2771">
        <v>48401</v>
      </c>
      <c r="C22" s="2768">
        <v>46822</v>
      </c>
      <c r="D22" s="2769">
        <v>-1579</v>
      </c>
      <c r="E22" s="2775">
        <f t="shared" si="0"/>
        <v>-3.2623292907171336E-2</v>
      </c>
    </row>
    <row r="23" spans="1:5" ht="22.5">
      <c r="A23" s="2773" t="s">
        <v>401</v>
      </c>
      <c r="B23" s="2771">
        <v>1230</v>
      </c>
      <c r="C23" s="2768">
        <v>1210</v>
      </c>
      <c r="D23" s="2769">
        <v>-20</v>
      </c>
      <c r="E23" s="2775">
        <f t="shared" si="0"/>
        <v>-1.6260162601626018E-2</v>
      </c>
    </row>
    <row r="24" spans="1:5" ht="22.5">
      <c r="A24" s="2773" t="s">
        <v>70</v>
      </c>
      <c r="B24" s="2771">
        <v>8732</v>
      </c>
      <c r="C24" s="2768">
        <v>8204</v>
      </c>
      <c r="D24" s="2769">
        <v>-528</v>
      </c>
      <c r="E24" s="2775">
        <f t="shared" si="0"/>
        <v>-6.0467246907924876E-2</v>
      </c>
    </row>
    <row r="25" spans="1:5" ht="23.25" thickBot="1">
      <c r="A25" s="2518" t="s">
        <v>69</v>
      </c>
      <c r="B25" s="2777">
        <v>2498</v>
      </c>
      <c r="C25" s="2778">
        <v>2541</v>
      </c>
      <c r="D25" s="2779">
        <v>43</v>
      </c>
      <c r="E25" s="2780">
        <f t="shared" si="0"/>
        <v>1.7213771016813449E-2</v>
      </c>
    </row>
    <row r="26" spans="1:5" ht="23.25" thickBot="1">
      <c r="A26" s="2528" t="s">
        <v>49</v>
      </c>
      <c r="B26" s="2781">
        <f>SUM(B5:B25)</f>
        <v>461642</v>
      </c>
      <c r="C26" s="2782">
        <f>SUM(C5:C25)</f>
        <v>450764</v>
      </c>
      <c r="D26" s="2783">
        <f>SUM(D5:D25)</f>
        <v>-10878</v>
      </c>
      <c r="E26" s="2784">
        <f t="shared" si="0"/>
        <v>-2.356371387352104E-2</v>
      </c>
    </row>
    <row r="27" spans="1:5" ht="6" customHeight="1">
      <c r="A27" s="1204"/>
      <c r="B27" s="1204"/>
      <c r="C27" s="1204"/>
      <c r="D27" s="1204"/>
      <c r="E27" s="1204"/>
    </row>
    <row r="28" spans="1:5" ht="16.5">
      <c r="A28" s="3070" t="s">
        <v>2016</v>
      </c>
      <c r="B28" s="3070"/>
      <c r="C28" s="3070"/>
      <c r="D28" s="3070"/>
      <c r="E28" s="3070"/>
    </row>
  </sheetData>
  <mergeCells count="7">
    <mergeCell ref="A28:E28"/>
    <mergeCell ref="A1:E1"/>
    <mergeCell ref="A2:E2"/>
    <mergeCell ref="A3:A4"/>
    <mergeCell ref="B3:C3"/>
    <mergeCell ref="D3:D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1:H35"/>
  <sheetViews>
    <sheetView rightToLeft="1" topLeftCell="A8" zoomScale="80" zoomScaleNormal="80" workbookViewId="0">
      <selection activeCell="E1" sqref="A1:E26"/>
    </sheetView>
  </sheetViews>
  <sheetFormatPr defaultColWidth="8" defaultRowHeight="15.75"/>
  <cols>
    <col min="1" max="1" width="12.875" style="19" customWidth="1"/>
    <col min="2" max="2" width="19.625" style="19" customWidth="1"/>
    <col min="3" max="3" width="15.625" style="19" customWidth="1"/>
    <col min="4" max="4" width="17.25" style="19" customWidth="1"/>
    <col min="5" max="5" width="13.75" style="19" customWidth="1"/>
    <col min="6" max="6" width="8" style="19"/>
    <col min="7" max="7" width="9.75" style="19" bestFit="1" customWidth="1"/>
    <col min="8" max="8" width="8.125" style="19" bestFit="1" customWidth="1"/>
    <col min="9" max="16384" width="8" style="19"/>
  </cols>
  <sheetData>
    <row r="1" spans="1:7" s="1884" customFormat="1" ht="37.5" customHeight="1" thickBot="1">
      <c r="A1" s="1866"/>
      <c r="B1" s="3079" t="s">
        <v>2014</v>
      </c>
      <c r="C1" s="3079"/>
      <c r="D1" s="3079"/>
      <c r="E1" s="1866"/>
    </row>
    <row r="2" spans="1:7" s="1884" customFormat="1" ht="20.25" thickBot="1">
      <c r="A2" s="1204"/>
      <c r="B2" s="1867" t="s">
        <v>1</v>
      </c>
      <c r="C2" s="1868">
        <v>1401</v>
      </c>
      <c r="D2" s="1868">
        <v>1402</v>
      </c>
      <c r="E2" s="1204"/>
    </row>
    <row r="3" spans="1:7" s="1884" customFormat="1" ht="22.5">
      <c r="A3" s="1204"/>
      <c r="B3" s="1880" t="s">
        <v>852</v>
      </c>
      <c r="C3" s="1886">
        <v>461642</v>
      </c>
      <c r="D3" s="1887">
        <v>450763</v>
      </c>
      <c r="E3" s="1869"/>
    </row>
    <row r="4" spans="1:7" s="1884" customFormat="1" ht="22.5">
      <c r="A4" s="1204"/>
      <c r="B4" s="1880" t="s">
        <v>851</v>
      </c>
      <c r="C4" s="1888">
        <v>8807</v>
      </c>
      <c r="D4" s="1889">
        <v>8790</v>
      </c>
      <c r="E4" s="1870"/>
    </row>
    <row r="5" spans="1:7" s="1884" customFormat="1" ht="22.5">
      <c r="A5" s="1204"/>
      <c r="B5" s="1880" t="s">
        <v>850</v>
      </c>
      <c r="C5" s="1888">
        <v>4815</v>
      </c>
      <c r="D5" s="1890">
        <v>5353</v>
      </c>
      <c r="E5" s="1871"/>
    </row>
    <row r="6" spans="1:7" s="1884" customFormat="1" ht="22.5">
      <c r="A6" s="1204"/>
      <c r="B6" s="1880" t="s">
        <v>849</v>
      </c>
      <c r="C6" s="1888">
        <v>2955</v>
      </c>
      <c r="D6" s="1891">
        <v>2794</v>
      </c>
      <c r="E6" s="1871"/>
    </row>
    <row r="7" spans="1:7" s="1884" customFormat="1" ht="22.5">
      <c r="A7" s="1204"/>
      <c r="B7" s="1880" t="s">
        <v>848</v>
      </c>
      <c r="C7" s="1888">
        <v>1522</v>
      </c>
      <c r="D7" s="1890">
        <v>1505</v>
      </c>
      <c r="E7" s="1871"/>
    </row>
    <row r="8" spans="1:7" s="1884" customFormat="1" ht="22.5">
      <c r="A8" s="1204"/>
      <c r="B8" s="1880" t="s">
        <v>847</v>
      </c>
      <c r="C8" s="1888">
        <v>1031</v>
      </c>
      <c r="D8" s="1890">
        <v>797</v>
      </c>
      <c r="E8" s="1871"/>
    </row>
    <row r="9" spans="1:7" s="1884" customFormat="1" ht="23.25" thickBot="1">
      <c r="A9" s="1204"/>
      <c r="B9" s="1880" t="s">
        <v>846</v>
      </c>
      <c r="C9" s="1892">
        <v>101</v>
      </c>
      <c r="D9" s="1893">
        <v>225</v>
      </c>
      <c r="E9" s="1871"/>
    </row>
    <row r="10" spans="1:7" s="1884" customFormat="1" ht="23.25" thickBot="1">
      <c r="A10" s="1204"/>
      <c r="B10" s="1872" t="s">
        <v>845</v>
      </c>
      <c r="C10" s="1894">
        <f>SUM(C3:C9)</f>
        <v>480873</v>
      </c>
      <c r="D10" s="1895">
        <f>SUM(D3:D9)</f>
        <v>470227</v>
      </c>
      <c r="E10" s="1249"/>
    </row>
    <row r="11" spans="1:7" s="1884" customFormat="1" ht="17.25" customHeight="1">
      <c r="A11" s="1215"/>
      <c r="B11" s="3080" t="s">
        <v>844</v>
      </c>
      <c r="C11" s="3080"/>
      <c r="D11" s="1873"/>
      <c r="E11" s="1873"/>
    </row>
    <row r="12" spans="1:7" ht="10.5" customHeight="1"/>
    <row r="13" spans="1:7" ht="30" customHeight="1" thickBot="1">
      <c r="A13" s="3091" t="s">
        <v>843</v>
      </c>
      <c r="B13" s="3091"/>
      <c r="C13" s="3091"/>
      <c r="D13" s="3091"/>
      <c r="E13" s="3091"/>
    </row>
    <row r="14" spans="1:7" ht="22.5" customHeight="1">
      <c r="A14" s="3082" t="s">
        <v>1</v>
      </c>
      <c r="B14" s="3083"/>
      <c r="C14" s="3093" t="s">
        <v>283</v>
      </c>
      <c r="D14" s="3094"/>
      <c r="E14" s="3083" t="s">
        <v>842</v>
      </c>
      <c r="G14" s="680"/>
    </row>
    <row r="15" spans="1:7" ht="22.5" customHeight="1" thickBot="1">
      <c r="A15" s="2839"/>
      <c r="B15" s="3092"/>
      <c r="C15" s="679">
        <v>1401</v>
      </c>
      <c r="D15" s="679">
        <v>1402</v>
      </c>
      <c r="E15" s="3092"/>
    </row>
    <row r="16" spans="1:7" ht="26.25" customHeight="1">
      <c r="A16" s="3095" t="s">
        <v>841</v>
      </c>
      <c r="B16" s="3096"/>
      <c r="C16" s="678"/>
      <c r="D16" s="2152"/>
      <c r="E16" s="2155"/>
    </row>
    <row r="17" spans="1:5" ht="21.75" customHeight="1">
      <c r="A17" s="3051" t="s">
        <v>840</v>
      </c>
      <c r="B17" s="3053"/>
      <c r="C17" s="677">
        <v>29</v>
      </c>
      <c r="D17" s="2153">
        <v>41</v>
      </c>
      <c r="E17" s="2156">
        <f>(D17-C17)/C17</f>
        <v>0.41379310344827586</v>
      </c>
    </row>
    <row r="18" spans="1:5" ht="21.75" customHeight="1">
      <c r="A18" s="3051" t="s">
        <v>839</v>
      </c>
      <c r="B18" s="3053"/>
      <c r="C18" s="676">
        <v>4422</v>
      </c>
      <c r="D18" s="2154">
        <v>4630</v>
      </c>
      <c r="E18" s="2156">
        <f t="shared" ref="E18:E19" si="0">(D18-C18)/C18</f>
        <v>4.7037539574853009E-2</v>
      </c>
    </row>
    <row r="19" spans="1:5" ht="21.75" customHeight="1" thickBot="1">
      <c r="A19" s="3060" t="s">
        <v>838</v>
      </c>
      <c r="B19" s="3062"/>
      <c r="C19" s="2159">
        <v>234</v>
      </c>
      <c r="D19" s="2160">
        <v>218</v>
      </c>
      <c r="E19" s="2149">
        <f t="shared" si="0"/>
        <v>-6.8376068376068383E-2</v>
      </c>
    </row>
    <row r="20" spans="1:5" ht="21.75" customHeight="1">
      <c r="A20" s="3097" t="s">
        <v>837</v>
      </c>
      <c r="B20" s="3098"/>
      <c r="C20" s="2157"/>
      <c r="D20" s="2158"/>
      <c r="E20" s="1889"/>
    </row>
    <row r="21" spans="1:5" ht="21.75" customHeight="1">
      <c r="A21" s="3089" t="s">
        <v>836</v>
      </c>
      <c r="B21" s="3090"/>
      <c r="C21" s="674">
        <v>6838</v>
      </c>
      <c r="D21" s="2150">
        <v>6528</v>
      </c>
      <c r="E21" s="2156">
        <f>(D21-C21)/C21</f>
        <v>-4.5334893243638492E-2</v>
      </c>
    </row>
    <row r="22" spans="1:5" ht="21.75" customHeight="1">
      <c r="A22" s="3082" t="s">
        <v>835</v>
      </c>
      <c r="B22" s="3083"/>
      <c r="C22" s="674">
        <v>44273</v>
      </c>
      <c r="D22" s="2150">
        <v>42939</v>
      </c>
      <c r="E22" s="2156">
        <f t="shared" ref="E22:E24" si="1">(D22-C22)/C22</f>
        <v>-3.0131231224448309E-2</v>
      </c>
    </row>
    <row r="23" spans="1:5" ht="21.75" customHeight="1">
      <c r="A23" s="3082" t="s">
        <v>834</v>
      </c>
      <c r="B23" s="3083"/>
      <c r="C23" s="674">
        <v>260359</v>
      </c>
      <c r="D23" s="2150">
        <v>266926</v>
      </c>
      <c r="E23" s="2156">
        <f t="shared" si="1"/>
        <v>2.5222865351303393E-2</v>
      </c>
    </row>
    <row r="24" spans="1:5" ht="21.75" customHeight="1" thickBot="1">
      <c r="A24" s="3084" t="s">
        <v>833</v>
      </c>
      <c r="B24" s="3085"/>
      <c r="C24" s="675">
        <v>95</v>
      </c>
      <c r="D24" s="2150">
        <v>85</v>
      </c>
      <c r="E24" s="2149">
        <f t="shared" si="1"/>
        <v>-0.10526315789473684</v>
      </c>
    </row>
    <row r="25" spans="1:5" ht="15" customHeight="1">
      <c r="A25" s="3086" t="s">
        <v>816</v>
      </c>
      <c r="B25" s="3086"/>
      <c r="C25" s="673"/>
      <c r="D25" s="673"/>
      <c r="E25" s="2151"/>
    </row>
    <row r="26" spans="1:5" ht="23.25" customHeight="1">
      <c r="A26" s="3087" t="s">
        <v>832</v>
      </c>
      <c r="B26" s="3087"/>
      <c r="C26" s="672"/>
      <c r="D26" s="672"/>
      <c r="E26" s="672"/>
    </row>
    <row r="27" spans="1:5" ht="19.5" customHeight="1">
      <c r="A27" s="672"/>
      <c r="B27" s="672"/>
      <c r="C27" s="672"/>
      <c r="D27" s="672"/>
      <c r="E27" s="672"/>
    </row>
    <row r="28" spans="1:5" ht="21" customHeight="1">
      <c r="A28" s="672"/>
      <c r="B28" s="672"/>
      <c r="C28" s="672"/>
      <c r="D28" s="672"/>
      <c r="E28" s="672"/>
    </row>
    <row r="31" spans="1:5">
      <c r="C31" s="669"/>
    </row>
    <row r="33" spans="2:8">
      <c r="B33" s="3088"/>
      <c r="C33" s="3088"/>
      <c r="D33" s="3088"/>
      <c r="E33" s="3088"/>
      <c r="F33" s="3088"/>
      <c r="G33" s="3088"/>
      <c r="H33" s="3088"/>
    </row>
    <row r="34" spans="2:8">
      <c r="B34" s="671"/>
      <c r="C34" s="3081"/>
      <c r="D34" s="3081"/>
      <c r="E34" s="3081"/>
      <c r="F34" s="3081"/>
      <c r="G34" s="3081"/>
      <c r="H34" s="3081"/>
    </row>
    <row r="35" spans="2:8">
      <c r="B35" s="670"/>
      <c r="C35" s="3021"/>
      <c r="D35" s="3021"/>
      <c r="E35" s="3021"/>
      <c r="F35" s="3021"/>
      <c r="G35" s="3021"/>
      <c r="H35" s="3021"/>
    </row>
  </sheetData>
  <mergeCells count="20">
    <mergeCell ref="A17:B17"/>
    <mergeCell ref="A18:B18"/>
    <mergeCell ref="A19:B19"/>
    <mergeCell ref="A20:B20"/>
    <mergeCell ref="B1:D1"/>
    <mergeCell ref="B11:C11"/>
    <mergeCell ref="C34:H34"/>
    <mergeCell ref="C35:H35"/>
    <mergeCell ref="A22:B22"/>
    <mergeCell ref="A23:B23"/>
    <mergeCell ref="A24:B24"/>
    <mergeCell ref="A25:B25"/>
    <mergeCell ref="A26:B26"/>
    <mergeCell ref="B33:H33"/>
    <mergeCell ref="A21:B21"/>
    <mergeCell ref="A13:E13"/>
    <mergeCell ref="A14:B15"/>
    <mergeCell ref="C14:D14"/>
    <mergeCell ref="E14:E15"/>
    <mergeCell ref="A16:B16"/>
  </mergeCells>
  <printOptions horizontalCentered="1" verticalCentered="1"/>
  <pageMargins left="0.74803149606299213" right="0.74803149606299213" top="0.59055118110236227" bottom="0.59055118110236227" header="0" footer="0"/>
  <pageSetup paperSize="9" firstPageNumber="6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</sheetPr>
  <dimension ref="A1:AM59"/>
  <sheetViews>
    <sheetView rightToLeft="1" zoomScale="68" zoomScaleNormal="68" workbookViewId="0">
      <selection activeCell="B47" sqref="B1:G47"/>
    </sheetView>
  </sheetViews>
  <sheetFormatPr defaultColWidth="9.125" defaultRowHeight="17.25"/>
  <cols>
    <col min="1" max="1" width="9.125" style="77"/>
    <col min="2" max="2" width="17.875" style="77" customWidth="1"/>
    <col min="3" max="7" width="14.875" style="77" customWidth="1"/>
    <col min="8" max="8" width="9.125" style="77"/>
    <col min="9" max="22" width="0" style="77" hidden="1" customWidth="1"/>
    <col min="23" max="23" width="25.75" style="77" customWidth="1"/>
    <col min="24" max="27" width="9.125" style="77"/>
    <col min="28" max="28" width="10.375" style="77" bestFit="1" customWidth="1"/>
    <col min="29" max="29" width="9.125" style="681"/>
    <col min="30" max="16384" width="9.125" style="77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:39" ht="15.75" customHeight="1"/>
    <row r="18" spans="1:39" ht="15.75" customHeight="1"/>
    <row r="19" spans="1:39" ht="15.75" customHeight="1"/>
    <row r="20" spans="1:39" ht="5.25" customHeight="1"/>
    <row r="21" spans="1:39" ht="24" customHeight="1" thickBot="1">
      <c r="B21" s="3099" t="s">
        <v>916</v>
      </c>
      <c r="C21" s="3099"/>
      <c r="D21" s="3099"/>
      <c r="E21" s="3099"/>
      <c r="F21" s="3099"/>
      <c r="G21" s="3099"/>
    </row>
    <row r="22" spans="1:39" ht="45.75" customHeight="1" thickBot="1">
      <c r="B22" s="695" t="s">
        <v>830</v>
      </c>
      <c r="C22" s="2164" t="s">
        <v>885</v>
      </c>
      <c r="D22" s="2165" t="s">
        <v>915</v>
      </c>
      <c r="E22" s="2165" t="s">
        <v>883</v>
      </c>
      <c r="F22" s="2166" t="s">
        <v>914</v>
      </c>
      <c r="G22" s="2165" t="s">
        <v>913</v>
      </c>
      <c r="H22" s="683"/>
      <c r="I22" s="689" t="s">
        <v>68</v>
      </c>
      <c r="J22" s="688"/>
      <c r="K22" s="688"/>
      <c r="L22" s="688"/>
      <c r="M22" s="688"/>
      <c r="N22" s="688"/>
      <c r="O22" s="688"/>
      <c r="P22" s="688">
        <v>567</v>
      </c>
      <c r="Q22" s="688"/>
      <c r="R22" s="688"/>
      <c r="S22" s="688"/>
      <c r="T22" s="688">
        <v>567</v>
      </c>
      <c r="U22" s="687">
        <f>+S22+R22+Q22+O22+N22+M22+L22</f>
        <v>0</v>
      </c>
      <c r="W22" s="684" t="s">
        <v>338</v>
      </c>
      <c r="X22" s="683" t="s">
        <v>888</v>
      </c>
      <c r="Y22" s="683" t="s">
        <v>887</v>
      </c>
      <c r="Z22" s="683" t="s">
        <v>886</v>
      </c>
      <c r="AA22" s="77" t="s">
        <v>885</v>
      </c>
      <c r="AB22" s="683" t="s">
        <v>884</v>
      </c>
      <c r="AC22" s="681" t="s">
        <v>883</v>
      </c>
      <c r="AD22" s="687" t="s">
        <v>408</v>
      </c>
      <c r="AE22" s="687" t="s">
        <v>912</v>
      </c>
      <c r="AF22" s="687" t="s">
        <v>911</v>
      </c>
      <c r="AG22" s="687" t="s">
        <v>910</v>
      </c>
      <c r="AH22" s="687" t="s">
        <v>909</v>
      </c>
      <c r="AI22" s="687" t="s">
        <v>908</v>
      </c>
      <c r="AJ22" s="687" t="s">
        <v>907</v>
      </c>
      <c r="AK22" s="687" t="s">
        <v>906</v>
      </c>
      <c r="AL22" s="687" t="s">
        <v>905</v>
      </c>
      <c r="AM22" s="687" t="s">
        <v>708</v>
      </c>
    </row>
    <row r="23" spans="1:39" ht="23.25" customHeight="1">
      <c r="A23" s="77">
        <v>1</v>
      </c>
      <c r="B23" s="2161" t="s">
        <v>904</v>
      </c>
      <c r="C23" s="2163">
        <v>351</v>
      </c>
      <c r="D23" s="2162">
        <v>0</v>
      </c>
      <c r="E23" s="2162">
        <v>708</v>
      </c>
      <c r="F23" s="2162"/>
      <c r="G23" s="2162">
        <f>10+5070</f>
        <v>5080</v>
      </c>
      <c r="H23" s="683"/>
      <c r="I23" s="689" t="s">
        <v>83</v>
      </c>
      <c r="J23" s="688"/>
      <c r="K23" s="688"/>
      <c r="L23" s="688"/>
      <c r="M23" s="688"/>
      <c r="N23" s="688"/>
      <c r="O23" s="688"/>
      <c r="P23" s="688">
        <v>94</v>
      </c>
      <c r="Q23" s="688"/>
      <c r="R23" s="688"/>
      <c r="S23" s="688"/>
      <c r="T23" s="688">
        <v>94</v>
      </c>
      <c r="U23" s="687">
        <f>+S23+R23+Q23+O23+N23+M23+L23</f>
        <v>0</v>
      </c>
      <c r="W23" s="684" t="s">
        <v>881</v>
      </c>
      <c r="X23" s="683"/>
      <c r="Y23" s="683">
        <v>0</v>
      </c>
      <c r="Z23" s="683">
        <v>0</v>
      </c>
      <c r="AA23" s="77">
        <v>464</v>
      </c>
      <c r="AB23" s="683">
        <v>3501</v>
      </c>
      <c r="AC23" s="681">
        <v>1592</v>
      </c>
      <c r="AD23" s="687" t="s">
        <v>78</v>
      </c>
      <c r="AE23" s="687"/>
      <c r="AF23" s="687"/>
      <c r="AG23" s="687"/>
      <c r="AH23" s="687"/>
      <c r="AI23" s="687"/>
      <c r="AJ23" s="687"/>
      <c r="AK23" s="687">
        <v>459</v>
      </c>
      <c r="AL23" s="687"/>
      <c r="AM23" s="687">
        <v>459</v>
      </c>
    </row>
    <row r="24" spans="1:39" ht="15.75" customHeight="1">
      <c r="A24" s="77">
        <f t="shared" ref="A24:A42" si="0">+A23+1</f>
        <v>2</v>
      </c>
      <c r="B24" s="2161" t="s">
        <v>903</v>
      </c>
      <c r="C24" s="2163">
        <v>1621</v>
      </c>
      <c r="D24" s="2162">
        <v>0</v>
      </c>
      <c r="E24" s="2162">
        <v>1309</v>
      </c>
      <c r="F24" s="2162">
        <v>4</v>
      </c>
      <c r="G24" s="2162">
        <f>1+11877</f>
        <v>11878</v>
      </c>
      <c r="H24" s="683"/>
      <c r="I24" s="689" t="s">
        <v>78</v>
      </c>
      <c r="J24" s="688"/>
      <c r="K24" s="688"/>
      <c r="L24" s="688"/>
      <c r="M24" s="688">
        <v>4</v>
      </c>
      <c r="N24" s="688"/>
      <c r="O24" s="688"/>
      <c r="P24" s="688">
        <v>433</v>
      </c>
      <c r="Q24" s="688"/>
      <c r="R24" s="688"/>
      <c r="S24" s="688"/>
      <c r="T24" s="688">
        <v>437</v>
      </c>
      <c r="U24" s="687">
        <f>+S24+R24+Q24+O24+N24+M24+L24</f>
        <v>4</v>
      </c>
      <c r="W24" s="684" t="s">
        <v>879</v>
      </c>
      <c r="X24" s="683"/>
      <c r="Y24" s="683">
        <v>4</v>
      </c>
      <c r="Z24" s="683">
        <v>0</v>
      </c>
      <c r="AA24" s="77">
        <v>2948</v>
      </c>
      <c r="AB24" s="683">
        <v>13380</v>
      </c>
      <c r="AC24" s="681">
        <v>1409</v>
      </c>
      <c r="AD24" s="687" t="s">
        <v>70</v>
      </c>
      <c r="AE24" s="687"/>
      <c r="AF24" s="687"/>
      <c r="AG24" s="687">
        <v>2</v>
      </c>
      <c r="AH24" s="687"/>
      <c r="AI24" s="687"/>
      <c r="AJ24" s="687"/>
      <c r="AK24" s="687">
        <v>3005</v>
      </c>
      <c r="AL24" s="687"/>
      <c r="AM24" s="687">
        <v>3007</v>
      </c>
    </row>
    <row r="25" spans="1:39" ht="15.75" customHeight="1">
      <c r="A25" s="77">
        <f t="shared" si="0"/>
        <v>3</v>
      </c>
      <c r="B25" s="2161" t="s">
        <v>902</v>
      </c>
      <c r="C25" s="2163">
        <v>1769</v>
      </c>
      <c r="D25" s="2162">
        <v>0</v>
      </c>
      <c r="E25" s="2162">
        <v>11457</v>
      </c>
      <c r="F25" s="2162">
        <v>70</v>
      </c>
      <c r="G25" s="2162">
        <f>60+26006</f>
        <v>26066</v>
      </c>
      <c r="H25" s="683"/>
      <c r="W25" s="684" t="s">
        <v>877</v>
      </c>
      <c r="X25" s="683"/>
      <c r="Y25" s="683">
        <v>0</v>
      </c>
      <c r="Z25" s="683">
        <v>0</v>
      </c>
      <c r="AA25" s="77">
        <v>2613</v>
      </c>
      <c r="AB25" s="683">
        <v>23910</v>
      </c>
      <c r="AC25" s="681">
        <v>11649</v>
      </c>
      <c r="AD25" s="687" t="s">
        <v>79</v>
      </c>
      <c r="AE25" s="687"/>
      <c r="AF25" s="687">
        <v>1</v>
      </c>
      <c r="AG25" s="687"/>
      <c r="AH25" s="687">
        <v>55</v>
      </c>
      <c r="AI25" s="687"/>
      <c r="AJ25" s="687">
        <v>1</v>
      </c>
      <c r="AK25" s="687">
        <v>2636</v>
      </c>
      <c r="AL25" s="687">
        <v>1</v>
      </c>
      <c r="AM25" s="687">
        <v>2694</v>
      </c>
    </row>
    <row r="26" spans="1:39" ht="15.75" customHeight="1">
      <c r="A26" s="77">
        <f t="shared" si="0"/>
        <v>4</v>
      </c>
      <c r="B26" s="2161" t="s">
        <v>901</v>
      </c>
      <c r="C26" s="2163">
        <v>0</v>
      </c>
      <c r="D26" s="2162">
        <v>0</v>
      </c>
      <c r="E26" s="2162">
        <v>1460</v>
      </c>
      <c r="F26" s="2162"/>
      <c r="G26" s="2162">
        <f>22+3804</f>
        <v>3826</v>
      </c>
      <c r="H26" s="683"/>
      <c r="W26" s="684" t="s">
        <v>875</v>
      </c>
      <c r="X26" s="683"/>
      <c r="Y26" s="683">
        <v>0</v>
      </c>
      <c r="Z26" s="683">
        <v>0</v>
      </c>
      <c r="AA26" s="77">
        <v>0</v>
      </c>
      <c r="AB26" s="683">
        <v>7086</v>
      </c>
      <c r="AC26" s="681">
        <v>1752</v>
      </c>
      <c r="AD26" s="687" t="s">
        <v>68</v>
      </c>
      <c r="AE26" s="687"/>
      <c r="AF26" s="687"/>
      <c r="AG26" s="687"/>
      <c r="AH26" s="687"/>
      <c r="AI26" s="687"/>
      <c r="AJ26" s="687"/>
      <c r="AK26" s="687">
        <v>552</v>
      </c>
      <c r="AL26" s="687"/>
      <c r="AM26" s="687">
        <v>552</v>
      </c>
    </row>
    <row r="27" spans="1:39" ht="15.75" customHeight="1">
      <c r="A27" s="77">
        <f t="shared" si="0"/>
        <v>5</v>
      </c>
      <c r="B27" s="2161" t="s">
        <v>900</v>
      </c>
      <c r="C27" s="2163">
        <v>521</v>
      </c>
      <c r="D27" s="2162">
        <v>0</v>
      </c>
      <c r="E27" s="2162">
        <v>4094</v>
      </c>
      <c r="F27" s="2162"/>
      <c r="G27" s="2162">
        <f>115+32543</f>
        <v>32658</v>
      </c>
      <c r="H27" s="683"/>
      <c r="I27" s="689" t="s">
        <v>70</v>
      </c>
      <c r="J27" s="688"/>
      <c r="K27" s="688">
        <v>305</v>
      </c>
      <c r="L27" s="688">
        <v>1</v>
      </c>
      <c r="M27" s="688">
        <v>21</v>
      </c>
      <c r="N27" s="688">
        <v>5</v>
      </c>
      <c r="O27" s="688"/>
      <c r="P27" s="688">
        <v>2581</v>
      </c>
      <c r="Q27" s="688"/>
      <c r="R27" s="688">
        <v>1</v>
      </c>
      <c r="S27" s="688">
        <v>2</v>
      </c>
      <c r="T27" s="688">
        <v>2916</v>
      </c>
      <c r="U27" s="687">
        <f>+S27+R27+Q27+O27+N27+M27+L27</f>
        <v>30</v>
      </c>
      <c r="W27" s="684" t="s">
        <v>873</v>
      </c>
      <c r="X27" s="683"/>
      <c r="Y27" s="683">
        <v>0</v>
      </c>
      <c r="Z27" s="683">
        <v>0</v>
      </c>
      <c r="AA27" s="77">
        <v>542</v>
      </c>
      <c r="AB27" s="683">
        <v>33490</v>
      </c>
      <c r="AC27" s="681">
        <v>6111</v>
      </c>
      <c r="AD27" s="687" t="s">
        <v>74</v>
      </c>
      <c r="AE27" s="687"/>
      <c r="AF27" s="687"/>
      <c r="AG27" s="687"/>
      <c r="AH27" s="687"/>
      <c r="AI27" s="687"/>
      <c r="AJ27" s="687"/>
      <c r="AK27" s="687">
        <v>71</v>
      </c>
      <c r="AL27" s="687"/>
      <c r="AM27" s="687">
        <v>71</v>
      </c>
    </row>
    <row r="28" spans="1:39" ht="15.75" customHeight="1">
      <c r="A28" s="77">
        <f t="shared" si="0"/>
        <v>6</v>
      </c>
      <c r="B28" s="2161" t="s">
        <v>899</v>
      </c>
      <c r="C28" s="2163"/>
      <c r="D28" s="2162">
        <v>0</v>
      </c>
      <c r="E28" s="2162">
        <v>248</v>
      </c>
      <c r="F28" s="2162"/>
      <c r="G28" s="2162">
        <f>5535</f>
        <v>5535</v>
      </c>
      <c r="H28" s="683"/>
      <c r="I28" s="689" t="s">
        <v>80</v>
      </c>
      <c r="J28" s="688"/>
      <c r="K28" s="688"/>
      <c r="L28" s="688"/>
      <c r="M28" s="688"/>
      <c r="N28" s="688"/>
      <c r="O28" s="688"/>
      <c r="P28" s="688">
        <v>168</v>
      </c>
      <c r="Q28" s="688"/>
      <c r="R28" s="688"/>
      <c r="S28" s="688"/>
      <c r="T28" s="688">
        <v>168</v>
      </c>
      <c r="U28" s="687">
        <f>+S28+R28+Q28+O28+N28+M28+L28</f>
        <v>0</v>
      </c>
      <c r="W28" s="684" t="s">
        <v>872</v>
      </c>
      <c r="X28" s="683"/>
      <c r="Y28" s="683">
        <v>0</v>
      </c>
      <c r="Z28" s="683">
        <v>0</v>
      </c>
      <c r="AA28" s="77">
        <v>0</v>
      </c>
      <c r="AB28" s="683">
        <v>999</v>
      </c>
      <c r="AC28" s="681">
        <v>108</v>
      </c>
      <c r="AD28" s="687" t="s">
        <v>75</v>
      </c>
      <c r="AE28" s="687">
        <v>1</v>
      </c>
      <c r="AF28" s="687"/>
      <c r="AG28" s="687"/>
      <c r="AH28" s="687"/>
      <c r="AI28" s="687"/>
      <c r="AJ28" s="687"/>
      <c r="AK28" s="687">
        <v>368</v>
      </c>
      <c r="AL28" s="687"/>
      <c r="AM28" s="687">
        <v>369</v>
      </c>
    </row>
    <row r="29" spans="1:39" ht="15.75" customHeight="1">
      <c r="A29" s="77">
        <f t="shared" si="0"/>
        <v>7</v>
      </c>
      <c r="B29" s="2161" t="s">
        <v>898</v>
      </c>
      <c r="C29" s="2163">
        <v>5</v>
      </c>
      <c r="D29" s="2162">
        <v>0</v>
      </c>
      <c r="E29" s="2162">
        <v>843</v>
      </c>
      <c r="F29" s="2162"/>
      <c r="G29" s="2162">
        <f>269+14155</f>
        <v>14424</v>
      </c>
      <c r="H29" s="683"/>
      <c r="I29" s="689" t="s">
        <v>76</v>
      </c>
      <c r="J29" s="688"/>
      <c r="K29" s="688">
        <v>534</v>
      </c>
      <c r="L29" s="688"/>
      <c r="M29" s="688"/>
      <c r="N29" s="688"/>
      <c r="O29" s="688"/>
      <c r="P29" s="688">
        <v>34</v>
      </c>
      <c r="Q29" s="688"/>
      <c r="R29" s="688"/>
      <c r="S29" s="688"/>
      <c r="T29" s="688">
        <v>568</v>
      </c>
      <c r="U29" s="687">
        <f>+S29+R29+Q29+O29+N29+M29+L29</f>
        <v>0</v>
      </c>
      <c r="W29" s="684" t="s">
        <v>870</v>
      </c>
      <c r="X29" s="683"/>
      <c r="Y29" s="683">
        <v>0</v>
      </c>
      <c r="Z29" s="683">
        <v>0</v>
      </c>
      <c r="AA29" s="77">
        <v>1</v>
      </c>
      <c r="AB29" s="683">
        <v>5733</v>
      </c>
      <c r="AC29" s="681">
        <v>514</v>
      </c>
      <c r="AD29" s="687" t="s">
        <v>77</v>
      </c>
      <c r="AE29" s="687"/>
      <c r="AF29" s="687"/>
      <c r="AG29" s="687"/>
      <c r="AH29" s="687"/>
      <c r="AI29" s="687"/>
      <c r="AJ29" s="687"/>
      <c r="AK29" s="687">
        <v>430</v>
      </c>
      <c r="AL29" s="687"/>
      <c r="AM29" s="687">
        <v>430</v>
      </c>
    </row>
    <row r="30" spans="1:39" ht="15.75" customHeight="1">
      <c r="A30" s="77">
        <f t="shared" si="0"/>
        <v>8</v>
      </c>
      <c r="B30" s="2161" t="s">
        <v>897</v>
      </c>
      <c r="C30" s="2163">
        <v>0</v>
      </c>
      <c r="D30" s="2162">
        <v>0</v>
      </c>
      <c r="E30" s="2162">
        <v>2267</v>
      </c>
      <c r="F30" s="2162"/>
      <c r="G30" s="2162">
        <f>17+15523</f>
        <v>15540</v>
      </c>
      <c r="H30" s="683"/>
      <c r="I30" s="689" t="s">
        <v>894</v>
      </c>
      <c r="J30" s="688"/>
      <c r="K30" s="688"/>
      <c r="L30" s="688"/>
      <c r="M30" s="688"/>
      <c r="N30" s="688"/>
      <c r="O30" s="688"/>
      <c r="P30" s="688">
        <v>464</v>
      </c>
      <c r="Q30" s="688"/>
      <c r="R30" s="688"/>
      <c r="S30" s="688"/>
      <c r="T30" s="688">
        <v>464</v>
      </c>
      <c r="U30" s="687">
        <f>+S30+R30+Q30+O30+N30+M30+L30</f>
        <v>0</v>
      </c>
      <c r="W30" s="684" t="s">
        <v>869</v>
      </c>
      <c r="X30" s="683"/>
      <c r="Y30" s="683">
        <v>0</v>
      </c>
      <c r="Z30" s="683">
        <v>0</v>
      </c>
      <c r="AA30" s="77">
        <v>0</v>
      </c>
      <c r="AB30" s="683">
        <v>33232</v>
      </c>
      <c r="AC30" s="681">
        <v>2447</v>
      </c>
      <c r="AD30" s="687" t="s">
        <v>85</v>
      </c>
      <c r="AE30" s="687"/>
      <c r="AF30" s="687"/>
      <c r="AG30" s="687"/>
      <c r="AH30" s="687"/>
      <c r="AI30" s="687"/>
      <c r="AJ30" s="687"/>
      <c r="AK30" s="687">
        <v>1</v>
      </c>
      <c r="AL30" s="687"/>
      <c r="AM30" s="687">
        <v>1</v>
      </c>
    </row>
    <row r="31" spans="1:39" ht="15.75" customHeight="1">
      <c r="A31" s="77">
        <f t="shared" si="0"/>
        <v>9</v>
      </c>
      <c r="B31" s="2161" t="s">
        <v>896</v>
      </c>
      <c r="C31" s="2163"/>
      <c r="D31" s="2162">
        <v>0</v>
      </c>
      <c r="E31" s="2162">
        <v>1933</v>
      </c>
      <c r="F31" s="2162"/>
      <c r="G31" s="2162">
        <f>45+8045</f>
        <v>8090</v>
      </c>
      <c r="H31" s="683"/>
      <c r="W31" s="693" t="s">
        <v>868</v>
      </c>
      <c r="X31" s="683"/>
      <c r="Y31" s="683">
        <v>0</v>
      </c>
      <c r="Z31" s="683">
        <v>0</v>
      </c>
      <c r="AA31" s="77">
        <v>0</v>
      </c>
      <c r="AB31" s="683">
        <v>11632</v>
      </c>
      <c r="AC31" s="681">
        <v>1315</v>
      </c>
      <c r="AD31" s="687" t="s">
        <v>403</v>
      </c>
      <c r="AE31" s="687"/>
      <c r="AF31" s="687"/>
      <c r="AG31" s="687"/>
      <c r="AH31" s="687"/>
      <c r="AI31" s="687">
        <v>4</v>
      </c>
      <c r="AJ31" s="687"/>
      <c r="AK31" s="687">
        <v>603</v>
      </c>
      <c r="AL31" s="687"/>
      <c r="AM31" s="687">
        <v>607</v>
      </c>
    </row>
    <row r="32" spans="1:39" ht="15.75" customHeight="1">
      <c r="A32" s="77">
        <f t="shared" si="0"/>
        <v>10</v>
      </c>
      <c r="B32" s="2161" t="s">
        <v>895</v>
      </c>
      <c r="C32" s="2163">
        <v>0</v>
      </c>
      <c r="D32" s="2162">
        <v>0</v>
      </c>
      <c r="E32" s="2162">
        <v>844</v>
      </c>
      <c r="F32" s="2162"/>
      <c r="G32" s="2162">
        <f>18+13401</f>
        <v>13419</v>
      </c>
      <c r="H32" s="683"/>
      <c r="I32" s="689" t="s">
        <v>79</v>
      </c>
      <c r="J32" s="688">
        <v>5</v>
      </c>
      <c r="K32" s="688">
        <v>12</v>
      </c>
      <c r="L32" s="688"/>
      <c r="M32" s="688">
        <v>53</v>
      </c>
      <c r="N32" s="688"/>
      <c r="O32" s="688">
        <v>6</v>
      </c>
      <c r="P32" s="688">
        <v>2797</v>
      </c>
      <c r="Q32" s="688">
        <v>1</v>
      </c>
      <c r="R32" s="688"/>
      <c r="S32" s="688">
        <v>1</v>
      </c>
      <c r="T32" s="688">
        <v>2875</v>
      </c>
      <c r="U32" s="687">
        <f>+S32+R32+Q32+O32+N32+M32+L32</f>
        <v>61</v>
      </c>
      <c r="W32" s="684" t="s">
        <v>866</v>
      </c>
      <c r="X32" s="683"/>
      <c r="Y32" s="683">
        <v>0</v>
      </c>
      <c r="Z32" s="683">
        <v>0</v>
      </c>
      <c r="AA32" s="77">
        <v>69</v>
      </c>
      <c r="AB32" s="683">
        <v>1195</v>
      </c>
      <c r="AC32" s="681">
        <v>817</v>
      </c>
      <c r="AD32" s="687" t="s">
        <v>894</v>
      </c>
      <c r="AE32" s="687"/>
      <c r="AF32" s="687"/>
      <c r="AG32" s="687"/>
      <c r="AH32" s="687"/>
      <c r="AI32" s="687"/>
      <c r="AJ32" s="687"/>
      <c r="AK32" s="687">
        <v>526</v>
      </c>
      <c r="AL32" s="687"/>
      <c r="AM32" s="687">
        <v>526</v>
      </c>
    </row>
    <row r="33" spans="1:39" ht="15.75" customHeight="1">
      <c r="A33" s="77">
        <f t="shared" si="0"/>
        <v>11</v>
      </c>
      <c r="B33" s="2161" t="s">
        <v>893</v>
      </c>
      <c r="C33" s="2163">
        <v>394</v>
      </c>
      <c r="D33" s="2162">
        <v>0</v>
      </c>
      <c r="E33" s="2162">
        <v>581</v>
      </c>
      <c r="F33" s="2162">
        <v>2</v>
      </c>
      <c r="G33" s="2162">
        <f>6+3079</f>
        <v>3085</v>
      </c>
      <c r="H33" s="683"/>
      <c r="I33" s="689" t="s">
        <v>403</v>
      </c>
      <c r="J33" s="688"/>
      <c r="K33" s="688"/>
      <c r="L33" s="688"/>
      <c r="M33" s="688">
        <v>3</v>
      </c>
      <c r="N33" s="688"/>
      <c r="O33" s="688"/>
      <c r="P33" s="688">
        <v>596</v>
      </c>
      <c r="Q33" s="688"/>
      <c r="R33" s="688">
        <v>1</v>
      </c>
      <c r="S33" s="688"/>
      <c r="T33" s="688">
        <v>600</v>
      </c>
      <c r="U33" s="687">
        <f>+S33+R33+Q33+O33+N33+M33+L33</f>
        <v>4</v>
      </c>
      <c r="W33" s="684" t="s">
        <v>865</v>
      </c>
      <c r="X33" s="683"/>
      <c r="Y33" s="683">
        <v>0</v>
      </c>
      <c r="Z33" s="683">
        <v>0</v>
      </c>
      <c r="AA33" s="77">
        <v>434</v>
      </c>
      <c r="AB33" s="683">
        <v>6502</v>
      </c>
      <c r="AC33" s="681">
        <v>717</v>
      </c>
      <c r="AD33" s="687" t="s">
        <v>83</v>
      </c>
      <c r="AE33" s="687"/>
      <c r="AF33" s="687"/>
      <c r="AG33" s="687"/>
      <c r="AH33" s="687">
        <v>3</v>
      </c>
      <c r="AI33" s="687"/>
      <c r="AJ33" s="687"/>
      <c r="AK33" s="687">
        <v>605</v>
      </c>
      <c r="AL33" s="687"/>
      <c r="AM33" s="687">
        <v>608</v>
      </c>
    </row>
    <row r="34" spans="1:39" ht="15.75" customHeight="1">
      <c r="A34" s="77">
        <f t="shared" si="0"/>
        <v>12</v>
      </c>
      <c r="B34" s="2161" t="s">
        <v>892</v>
      </c>
      <c r="C34" s="2163"/>
      <c r="D34" s="2162">
        <v>0</v>
      </c>
      <c r="E34" s="2162">
        <v>803</v>
      </c>
      <c r="F34" s="2162"/>
      <c r="G34" s="2162">
        <f>3+8955</f>
        <v>8958</v>
      </c>
      <c r="H34" s="683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W34" s="684" t="s">
        <v>864</v>
      </c>
      <c r="X34" s="683"/>
      <c r="Y34" s="683">
        <v>0</v>
      </c>
      <c r="Z34" s="683">
        <v>0</v>
      </c>
      <c r="AA34" s="77">
        <v>0</v>
      </c>
      <c r="AB34" s="683">
        <v>13067</v>
      </c>
      <c r="AC34" s="681">
        <v>761</v>
      </c>
      <c r="AD34" s="687" t="s">
        <v>80</v>
      </c>
      <c r="AE34" s="687"/>
      <c r="AF34" s="687"/>
      <c r="AG34" s="687"/>
      <c r="AH34" s="687"/>
      <c r="AI34" s="687"/>
      <c r="AJ34" s="687"/>
      <c r="AK34" s="687">
        <v>205</v>
      </c>
      <c r="AL34" s="687"/>
      <c r="AM34" s="687">
        <v>205</v>
      </c>
    </row>
    <row r="35" spans="1:39" ht="15.75" customHeight="1">
      <c r="A35" s="77">
        <f t="shared" si="0"/>
        <v>13</v>
      </c>
      <c r="B35" s="2161" t="s">
        <v>891</v>
      </c>
      <c r="C35" s="2163">
        <v>338</v>
      </c>
      <c r="D35" s="2162">
        <v>0</v>
      </c>
      <c r="E35" s="2162">
        <v>5884</v>
      </c>
      <c r="F35" s="2162">
        <v>1</v>
      </c>
      <c r="G35" s="2162">
        <f>601+67889</f>
        <v>68490</v>
      </c>
      <c r="H35" s="683"/>
      <c r="W35" s="684" t="s">
        <v>862</v>
      </c>
      <c r="X35" s="683"/>
      <c r="Y35" s="683">
        <v>0</v>
      </c>
      <c r="Z35" s="683">
        <v>0</v>
      </c>
      <c r="AA35" s="77">
        <v>557</v>
      </c>
      <c r="AB35" s="683">
        <v>59076</v>
      </c>
      <c r="AC35" s="681">
        <v>4321</v>
      </c>
      <c r="AD35" s="687" t="s">
        <v>708</v>
      </c>
      <c r="AE35" s="687">
        <v>1</v>
      </c>
      <c r="AF35" s="687">
        <v>1</v>
      </c>
      <c r="AG35" s="687">
        <v>2</v>
      </c>
      <c r="AH35" s="687">
        <v>58</v>
      </c>
      <c r="AI35" s="687">
        <v>4</v>
      </c>
      <c r="AJ35" s="687">
        <v>1</v>
      </c>
      <c r="AK35" s="687">
        <v>9461</v>
      </c>
      <c r="AL35" s="687">
        <v>1</v>
      </c>
      <c r="AM35" s="687">
        <v>9529</v>
      </c>
    </row>
    <row r="36" spans="1:39" ht="15.75" customHeight="1">
      <c r="A36" s="77">
        <f t="shared" si="0"/>
        <v>14</v>
      </c>
      <c r="B36" s="2161" t="s">
        <v>890</v>
      </c>
      <c r="C36" s="2163">
        <v>301</v>
      </c>
      <c r="D36" s="2162">
        <v>0</v>
      </c>
      <c r="E36" s="2162">
        <v>4606</v>
      </c>
      <c r="F36" s="2162"/>
      <c r="G36" s="2162">
        <f>40+20017</f>
        <v>20057</v>
      </c>
      <c r="H36" s="683"/>
      <c r="I36" s="691" t="s">
        <v>708</v>
      </c>
      <c r="J36" s="690">
        <v>5</v>
      </c>
      <c r="K36" s="690">
        <v>859</v>
      </c>
      <c r="L36" s="690">
        <v>1</v>
      </c>
      <c r="M36" s="690">
        <v>90</v>
      </c>
      <c r="N36" s="690">
        <v>5</v>
      </c>
      <c r="O36" s="690">
        <v>6</v>
      </c>
      <c r="P36" s="690">
        <v>8801</v>
      </c>
      <c r="Q36" s="690">
        <v>1</v>
      </c>
      <c r="R36" s="690">
        <v>2</v>
      </c>
      <c r="S36" s="690">
        <v>3</v>
      </c>
      <c r="T36" s="690">
        <v>9773</v>
      </c>
      <c r="U36" s="687">
        <f>SUM(U24:U35)</f>
        <v>99</v>
      </c>
      <c r="W36" s="684" t="s">
        <v>861</v>
      </c>
      <c r="X36" s="683"/>
      <c r="Y36" s="683">
        <v>0</v>
      </c>
      <c r="Z36" s="683">
        <v>0</v>
      </c>
      <c r="AA36" s="77">
        <v>210</v>
      </c>
      <c r="AB36" s="683">
        <v>31558</v>
      </c>
      <c r="AC36" s="681">
        <v>4433</v>
      </c>
    </row>
    <row r="37" spans="1:39" ht="15.75" customHeight="1">
      <c r="A37" s="77">
        <f t="shared" si="0"/>
        <v>15</v>
      </c>
      <c r="B37" s="2161" t="s">
        <v>889</v>
      </c>
      <c r="C37" s="2163">
        <v>274</v>
      </c>
      <c r="D37" s="2162">
        <v>0</v>
      </c>
      <c r="E37" s="2162">
        <v>0</v>
      </c>
      <c r="F37" s="2162"/>
      <c r="G37" s="2162">
        <f>1+130</f>
        <v>131</v>
      </c>
      <c r="H37" s="683"/>
      <c r="I37" s="689" t="s">
        <v>77</v>
      </c>
      <c r="J37" s="688"/>
      <c r="K37" s="688"/>
      <c r="L37" s="688"/>
      <c r="M37" s="688">
        <v>9</v>
      </c>
      <c r="N37" s="688"/>
      <c r="O37" s="688"/>
      <c r="P37" s="688">
        <v>553</v>
      </c>
      <c r="Q37" s="688"/>
      <c r="R37" s="688"/>
      <c r="S37" s="688"/>
      <c r="T37" s="688">
        <v>562</v>
      </c>
      <c r="U37" s="687">
        <f>+S37+R37+Q37+O37+N37+M37+L37</f>
        <v>9</v>
      </c>
      <c r="W37" s="684" t="s">
        <v>860</v>
      </c>
      <c r="X37" s="683"/>
      <c r="Y37" s="683">
        <v>0</v>
      </c>
      <c r="Z37" s="683">
        <v>0</v>
      </c>
      <c r="AA37" s="77">
        <v>518</v>
      </c>
      <c r="AB37" s="683">
        <v>0</v>
      </c>
      <c r="AC37" s="681">
        <v>0</v>
      </c>
      <c r="AD37" s="77" t="s">
        <v>338</v>
      </c>
      <c r="AE37" s="77" t="s">
        <v>888</v>
      </c>
      <c r="AF37" s="77" t="s">
        <v>887</v>
      </c>
      <c r="AG37" s="77" t="s">
        <v>886</v>
      </c>
      <c r="AH37" s="77" t="s">
        <v>885</v>
      </c>
      <c r="AI37" s="77" t="s">
        <v>884</v>
      </c>
      <c r="AJ37" s="77" t="s">
        <v>883</v>
      </c>
    </row>
    <row r="38" spans="1:39" ht="15.75" customHeight="1">
      <c r="A38" s="77">
        <f t="shared" si="0"/>
        <v>16</v>
      </c>
      <c r="B38" s="2161" t="s">
        <v>882</v>
      </c>
      <c r="C38" s="2163">
        <v>717</v>
      </c>
      <c r="D38" s="2162">
        <v>0</v>
      </c>
      <c r="E38" s="2162">
        <v>1244</v>
      </c>
      <c r="F38" s="2162">
        <v>8</v>
      </c>
      <c r="G38" s="2162">
        <f>7+8707</f>
        <v>8714</v>
      </c>
      <c r="H38" s="683"/>
      <c r="W38" s="684" t="s">
        <v>859</v>
      </c>
      <c r="X38" s="683"/>
      <c r="Y38" s="683">
        <v>0</v>
      </c>
      <c r="Z38" s="683">
        <v>0</v>
      </c>
      <c r="AA38" s="77">
        <v>606</v>
      </c>
      <c r="AB38" s="683">
        <v>6345</v>
      </c>
      <c r="AC38" s="681">
        <v>1510</v>
      </c>
      <c r="AD38" s="77" t="s">
        <v>881</v>
      </c>
      <c r="AF38" s="77">
        <v>0</v>
      </c>
      <c r="AG38" s="77">
        <v>0</v>
      </c>
      <c r="AH38" s="77">
        <v>418</v>
      </c>
      <c r="AI38" s="77">
        <v>2860</v>
      </c>
      <c r="AJ38" s="77">
        <v>955</v>
      </c>
    </row>
    <row r="39" spans="1:39" ht="15.75" customHeight="1">
      <c r="A39" s="77">
        <f t="shared" si="0"/>
        <v>17</v>
      </c>
      <c r="B39" s="2161" t="s">
        <v>880</v>
      </c>
      <c r="C39" s="2163">
        <v>0</v>
      </c>
      <c r="D39" s="2162">
        <v>0</v>
      </c>
      <c r="E39" s="2162">
        <v>297</v>
      </c>
      <c r="F39" s="2162"/>
      <c r="G39" s="2162">
        <f>8+261</f>
        <v>269</v>
      </c>
      <c r="H39" s="683"/>
      <c r="W39" s="684" t="s">
        <v>858</v>
      </c>
      <c r="X39" s="683"/>
      <c r="Y39" s="683">
        <v>0</v>
      </c>
      <c r="Z39" s="683">
        <v>0</v>
      </c>
      <c r="AA39" s="77">
        <v>1</v>
      </c>
      <c r="AB39" s="683">
        <v>1336</v>
      </c>
      <c r="AC39" s="681">
        <v>383</v>
      </c>
      <c r="AD39" s="77" t="s">
        <v>879</v>
      </c>
      <c r="AF39" s="77">
        <v>3</v>
      </c>
      <c r="AG39" s="77">
        <v>0</v>
      </c>
      <c r="AH39" s="77">
        <v>1917</v>
      </c>
      <c r="AI39" s="77">
        <v>15108</v>
      </c>
      <c r="AJ39" s="77">
        <v>1249</v>
      </c>
    </row>
    <row r="40" spans="1:39" ht="15.75" customHeight="1">
      <c r="A40" s="77">
        <f t="shared" si="0"/>
        <v>18</v>
      </c>
      <c r="B40" s="2161" t="s">
        <v>878</v>
      </c>
      <c r="C40" s="2163">
        <v>0</v>
      </c>
      <c r="D40" s="2162">
        <v>0</v>
      </c>
      <c r="E40" s="2162">
        <v>1406</v>
      </c>
      <c r="F40" s="2162"/>
      <c r="G40" s="2162">
        <f>2+6200</f>
        <v>6202</v>
      </c>
      <c r="H40" s="683"/>
      <c r="I40" s="689" t="s">
        <v>75</v>
      </c>
      <c r="J40" s="688"/>
      <c r="K40" s="688"/>
      <c r="L40" s="688"/>
      <c r="M40" s="688"/>
      <c r="N40" s="688"/>
      <c r="O40" s="688"/>
      <c r="P40" s="688">
        <v>514</v>
      </c>
      <c r="Q40" s="688"/>
      <c r="R40" s="688"/>
      <c r="S40" s="688"/>
      <c r="T40" s="688">
        <v>514</v>
      </c>
      <c r="U40" s="687">
        <f>+S40+R40+Q40+O40+N40+M40+L40</f>
        <v>0</v>
      </c>
      <c r="W40" s="684" t="s">
        <v>857</v>
      </c>
      <c r="X40" s="683"/>
      <c r="Y40" s="683">
        <v>0</v>
      </c>
      <c r="Z40" s="683">
        <v>0</v>
      </c>
      <c r="AA40" s="77">
        <v>0</v>
      </c>
      <c r="AB40" s="683">
        <v>8590</v>
      </c>
      <c r="AC40" s="681">
        <v>1845</v>
      </c>
      <c r="AD40" s="77" t="s">
        <v>877</v>
      </c>
      <c r="AF40" s="77">
        <v>0</v>
      </c>
      <c r="AG40" s="77">
        <v>0</v>
      </c>
      <c r="AH40" s="77">
        <v>2490</v>
      </c>
      <c r="AI40" s="77">
        <v>32847</v>
      </c>
      <c r="AJ40" s="77">
        <v>12104</v>
      </c>
    </row>
    <row r="41" spans="1:39" ht="15.75" customHeight="1">
      <c r="A41" s="77">
        <f t="shared" si="0"/>
        <v>19</v>
      </c>
      <c r="B41" s="2161" t="s">
        <v>876</v>
      </c>
      <c r="C41" s="2163">
        <v>0</v>
      </c>
      <c r="D41" s="2162">
        <v>0</v>
      </c>
      <c r="E41" s="2162">
        <v>2532</v>
      </c>
      <c r="F41" s="2162"/>
      <c r="G41" s="2162">
        <f>21+10791</f>
        <v>10812</v>
      </c>
      <c r="H41" s="683"/>
      <c r="I41" s="689" t="s">
        <v>85</v>
      </c>
      <c r="J41" s="688"/>
      <c r="K41" s="688">
        <v>8</v>
      </c>
      <c r="L41" s="688"/>
      <c r="M41" s="688"/>
      <c r="N41" s="688"/>
      <c r="O41" s="688"/>
      <c r="P41" s="688"/>
      <c r="Q41" s="688"/>
      <c r="R41" s="688"/>
      <c r="S41" s="688"/>
      <c r="T41" s="688">
        <v>8</v>
      </c>
      <c r="U41" s="687">
        <f>+S41+R41+Q41+O41+N41+M41+L41</f>
        <v>0</v>
      </c>
      <c r="W41" s="684" t="s">
        <v>856</v>
      </c>
      <c r="X41" s="683"/>
      <c r="Y41" s="683">
        <v>0</v>
      </c>
      <c r="Z41" s="683">
        <v>0</v>
      </c>
      <c r="AA41" s="77">
        <v>0</v>
      </c>
      <c r="AB41" s="683">
        <v>13171</v>
      </c>
      <c r="AC41" s="681">
        <v>3121</v>
      </c>
      <c r="AD41" s="77" t="s">
        <v>875</v>
      </c>
      <c r="AF41" s="77">
        <v>0</v>
      </c>
      <c r="AG41" s="77">
        <v>0</v>
      </c>
      <c r="AH41" s="77">
        <v>0</v>
      </c>
      <c r="AI41" s="77">
        <v>11111</v>
      </c>
      <c r="AJ41" s="77">
        <v>2265</v>
      </c>
    </row>
    <row r="42" spans="1:39" ht="24.75" customHeight="1">
      <c r="A42" s="77">
        <f t="shared" si="0"/>
        <v>20</v>
      </c>
      <c r="B42" s="2161" t="s">
        <v>874</v>
      </c>
      <c r="C42" s="2163">
        <v>237</v>
      </c>
      <c r="D42" s="2162">
        <v>0</v>
      </c>
      <c r="E42" s="2162">
        <v>35</v>
      </c>
      <c r="F42" s="2162"/>
      <c r="G42" s="2162">
        <f>1+221</f>
        <v>222</v>
      </c>
      <c r="H42" s="683"/>
      <c r="W42" s="684" t="s">
        <v>855</v>
      </c>
      <c r="X42" s="683"/>
      <c r="Y42" s="683">
        <v>0</v>
      </c>
      <c r="Z42" s="683">
        <v>0</v>
      </c>
      <c r="AA42" s="77">
        <v>382</v>
      </c>
      <c r="AB42" s="683">
        <v>320</v>
      </c>
      <c r="AC42" s="681">
        <v>115</v>
      </c>
      <c r="AD42" s="77" t="s">
        <v>873</v>
      </c>
      <c r="AF42" s="77">
        <v>0</v>
      </c>
      <c r="AG42" s="77">
        <v>0</v>
      </c>
      <c r="AH42" s="77">
        <v>490</v>
      </c>
      <c r="AI42" s="77">
        <v>30645</v>
      </c>
      <c r="AJ42" s="77">
        <v>9060</v>
      </c>
    </row>
    <row r="43" spans="1:39" ht="22.5" customHeight="1">
      <c r="B43" s="2161" t="s">
        <v>88</v>
      </c>
      <c r="C43" s="2163">
        <v>0</v>
      </c>
      <c r="D43" s="2162">
        <v>0</v>
      </c>
      <c r="E43" s="2162">
        <v>3</v>
      </c>
      <c r="F43" s="2162"/>
      <c r="G43" s="2162">
        <f>40</f>
        <v>40</v>
      </c>
      <c r="H43" s="683"/>
      <c r="W43" s="684" t="s">
        <v>854</v>
      </c>
      <c r="X43" s="683"/>
      <c r="Y43" s="683">
        <v>0</v>
      </c>
      <c r="Z43" s="683">
        <v>0</v>
      </c>
      <c r="AA43" s="77">
        <v>0</v>
      </c>
      <c r="AB43" s="683">
        <v>65</v>
      </c>
      <c r="AC43" s="681">
        <v>0</v>
      </c>
      <c r="AD43" s="77" t="s">
        <v>872</v>
      </c>
      <c r="AF43" s="77">
        <v>0</v>
      </c>
      <c r="AG43" s="77">
        <v>0</v>
      </c>
      <c r="AH43" s="77">
        <v>0</v>
      </c>
      <c r="AI43" s="77">
        <v>1584</v>
      </c>
      <c r="AJ43" s="77">
        <v>115</v>
      </c>
    </row>
    <row r="44" spans="1:39" ht="25.5" customHeight="1" thickBot="1">
      <c r="B44" s="2161" t="s">
        <v>871</v>
      </c>
      <c r="C44" s="2163">
        <v>0</v>
      </c>
      <c r="D44" s="2162">
        <v>0</v>
      </c>
      <c r="E44" s="2162">
        <v>385</v>
      </c>
      <c r="F44" s="2162"/>
      <c r="G44" s="2162">
        <f>6+3424</f>
        <v>3430</v>
      </c>
      <c r="H44" s="683"/>
      <c r="W44" s="684" t="s">
        <v>853</v>
      </c>
      <c r="X44" s="683"/>
      <c r="Y44" s="683">
        <v>0</v>
      </c>
      <c r="Z44" s="683">
        <v>0</v>
      </c>
      <c r="AA44" s="77">
        <v>0</v>
      </c>
      <c r="AB44" s="683">
        <v>3668</v>
      </c>
      <c r="AC44" s="681">
        <v>428</v>
      </c>
      <c r="AD44" s="77" t="s">
        <v>870</v>
      </c>
      <c r="AF44" s="77">
        <v>0</v>
      </c>
      <c r="AG44" s="77">
        <v>0</v>
      </c>
      <c r="AH44" s="77">
        <v>2</v>
      </c>
      <c r="AI44" s="77">
        <v>7476</v>
      </c>
      <c r="AJ44" s="77">
        <v>675</v>
      </c>
    </row>
    <row r="45" spans="1:39" ht="25.5" thickBot="1">
      <c r="B45" s="695" t="s">
        <v>423</v>
      </c>
      <c r="C45" s="2167">
        <f t="shared" ref="C45:F45" si="1">SUM(C23:C44)</f>
        <v>6528</v>
      </c>
      <c r="D45" s="2168">
        <f t="shared" si="1"/>
        <v>0</v>
      </c>
      <c r="E45" s="2168">
        <f t="shared" si="1"/>
        <v>42939</v>
      </c>
      <c r="F45" s="2168">
        <f t="shared" si="1"/>
        <v>85</v>
      </c>
      <c r="G45" s="2168">
        <f>SUM(G23:G44)</f>
        <v>266926</v>
      </c>
      <c r="AD45" s="77" t="s">
        <v>869</v>
      </c>
      <c r="AF45" s="77">
        <v>0</v>
      </c>
      <c r="AG45" s="77">
        <v>0</v>
      </c>
      <c r="AH45" s="77">
        <v>0</v>
      </c>
      <c r="AI45" s="77">
        <v>47047</v>
      </c>
      <c r="AJ45" s="77">
        <v>3003</v>
      </c>
    </row>
    <row r="46" spans="1:39" ht="6" customHeight="1">
      <c r="AD46" s="77" t="s">
        <v>868</v>
      </c>
      <c r="AF46" s="77">
        <v>0</v>
      </c>
      <c r="AG46" s="77">
        <v>0</v>
      </c>
      <c r="AH46" s="77">
        <v>0</v>
      </c>
      <c r="AI46" s="77">
        <v>11002</v>
      </c>
      <c r="AJ46" s="77">
        <v>1170</v>
      </c>
    </row>
    <row r="47" spans="1:39">
      <c r="B47" s="3100" t="s">
        <v>867</v>
      </c>
      <c r="C47" s="3101"/>
      <c r="D47" s="3101"/>
      <c r="E47" s="3101"/>
      <c r="F47" s="3101"/>
      <c r="G47" s="682"/>
      <c r="AD47" s="77" t="s">
        <v>866</v>
      </c>
      <c r="AF47" s="77">
        <v>0</v>
      </c>
      <c r="AG47" s="77">
        <v>0</v>
      </c>
      <c r="AH47" s="77">
        <v>94</v>
      </c>
      <c r="AI47" s="77">
        <v>8203</v>
      </c>
      <c r="AJ47" s="77">
        <v>859</v>
      </c>
    </row>
    <row r="48" spans="1:39">
      <c r="W48" s="681"/>
      <c r="X48" s="77" t="s">
        <v>865</v>
      </c>
      <c r="Z48" s="77">
        <v>0</v>
      </c>
      <c r="AA48" s="77">
        <v>0</v>
      </c>
      <c r="AB48" s="77">
        <v>301</v>
      </c>
      <c r="AC48" s="77">
        <v>8231</v>
      </c>
      <c r="AD48" s="77">
        <v>709</v>
      </c>
    </row>
    <row r="49" spans="2:36">
      <c r="W49" s="681"/>
      <c r="X49" s="77" t="s">
        <v>864</v>
      </c>
      <c r="Z49" s="77">
        <v>0</v>
      </c>
      <c r="AA49" s="77">
        <v>0</v>
      </c>
      <c r="AB49" s="77">
        <v>0</v>
      </c>
      <c r="AC49" s="77">
        <v>12479</v>
      </c>
      <c r="AD49" s="77">
        <v>675</v>
      </c>
    </row>
    <row r="50" spans="2:36" ht="45" customHeight="1">
      <c r="B50" s="3102" t="s">
        <v>863</v>
      </c>
      <c r="C50" s="3102"/>
      <c r="D50" s="3102"/>
      <c r="AD50" s="77" t="s">
        <v>862</v>
      </c>
      <c r="AF50" s="77">
        <v>0</v>
      </c>
      <c r="AG50" s="77">
        <v>0</v>
      </c>
      <c r="AH50" s="77">
        <v>433</v>
      </c>
      <c r="AI50" s="77">
        <v>76082</v>
      </c>
      <c r="AJ50" s="77">
        <v>4603</v>
      </c>
    </row>
    <row r="51" spans="2:36">
      <c r="AD51" s="77" t="s">
        <v>861</v>
      </c>
      <c r="AF51" s="77">
        <v>0</v>
      </c>
      <c r="AG51" s="77">
        <v>0</v>
      </c>
      <c r="AH51" s="77">
        <v>184</v>
      </c>
      <c r="AI51" s="77">
        <v>31610</v>
      </c>
      <c r="AJ51" s="77">
        <v>4918</v>
      </c>
    </row>
    <row r="52" spans="2:36">
      <c r="AD52" s="77" t="s">
        <v>860</v>
      </c>
      <c r="AF52" s="77">
        <v>0</v>
      </c>
      <c r="AG52" s="77">
        <v>0</v>
      </c>
      <c r="AH52" s="77">
        <v>362</v>
      </c>
      <c r="AI52" s="77">
        <v>0</v>
      </c>
      <c r="AJ52" s="77">
        <v>0</v>
      </c>
    </row>
    <row r="53" spans="2:36">
      <c r="AD53" s="77" t="s">
        <v>859</v>
      </c>
      <c r="AF53" s="77">
        <v>0</v>
      </c>
      <c r="AG53" s="77">
        <v>0</v>
      </c>
      <c r="AH53" s="77">
        <v>360</v>
      </c>
      <c r="AI53" s="77">
        <v>5868</v>
      </c>
      <c r="AJ53" s="77">
        <v>1498</v>
      </c>
    </row>
    <row r="54" spans="2:36">
      <c r="AD54" s="77" t="s">
        <v>858</v>
      </c>
      <c r="AF54" s="77">
        <v>0</v>
      </c>
      <c r="AG54" s="77">
        <v>0</v>
      </c>
      <c r="AH54" s="77">
        <v>1</v>
      </c>
      <c r="AI54" s="77">
        <v>2676</v>
      </c>
      <c r="AJ54" s="77">
        <v>240</v>
      </c>
    </row>
    <row r="55" spans="2:36">
      <c r="AD55" s="77" t="s">
        <v>857</v>
      </c>
      <c r="AF55" s="77">
        <v>0</v>
      </c>
      <c r="AG55" s="77">
        <v>0</v>
      </c>
      <c r="AH55" s="77">
        <v>0</v>
      </c>
      <c r="AI55" s="77">
        <v>6512</v>
      </c>
      <c r="AJ55" s="77">
        <v>1424</v>
      </c>
    </row>
    <row r="56" spans="2:36">
      <c r="AD56" s="77" t="s">
        <v>856</v>
      </c>
      <c r="AF56" s="77">
        <v>0</v>
      </c>
      <c r="AG56" s="77">
        <v>0</v>
      </c>
      <c r="AH56" s="77">
        <v>0</v>
      </c>
      <c r="AI56" s="77">
        <v>15786</v>
      </c>
      <c r="AJ56" s="77">
        <v>3022</v>
      </c>
    </row>
    <row r="57" spans="2:36">
      <c r="AD57" s="77" t="s">
        <v>855</v>
      </c>
      <c r="AF57" s="77">
        <v>0</v>
      </c>
      <c r="AG57" s="77">
        <v>0</v>
      </c>
      <c r="AH57" s="77">
        <v>151</v>
      </c>
      <c r="AI57" s="77">
        <v>237</v>
      </c>
      <c r="AJ57" s="77">
        <v>172</v>
      </c>
    </row>
    <row r="58" spans="2:36">
      <c r="AD58" s="77" t="s">
        <v>854</v>
      </c>
      <c r="AF58" s="77">
        <v>0</v>
      </c>
      <c r="AG58" s="77">
        <v>0</v>
      </c>
      <c r="AH58" s="77">
        <v>0</v>
      </c>
      <c r="AI58" s="77">
        <v>126</v>
      </c>
      <c r="AJ58" s="77">
        <v>0</v>
      </c>
    </row>
    <row r="59" spans="2:36">
      <c r="AD59" s="77" t="s">
        <v>853</v>
      </c>
      <c r="AF59" s="77">
        <v>0</v>
      </c>
      <c r="AG59" s="77">
        <v>0</v>
      </c>
      <c r="AH59" s="77">
        <v>0</v>
      </c>
      <c r="AI59" s="77">
        <v>2488</v>
      </c>
      <c r="AJ59" s="77">
        <v>256</v>
      </c>
    </row>
  </sheetData>
  <mergeCells count="3">
    <mergeCell ref="B21:G21"/>
    <mergeCell ref="B47:F47"/>
    <mergeCell ref="B50:D50"/>
  </mergeCells>
  <printOptions horizontalCentered="1" verticalCentered="1"/>
  <pageMargins left="0.19685039370078741" right="0.19685039370078741" top="0.98425196850393704" bottom="0.98425196850393704" header="0" footer="0"/>
  <pageSetup paperSize="9" scale="81" firstPageNumber="6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H19"/>
  <sheetViews>
    <sheetView rightToLeft="1" view="pageBreakPreview" topLeftCell="A11" zoomScale="91" zoomScaleNormal="100" zoomScaleSheetLayoutView="91" workbookViewId="0">
      <selection sqref="A1:G19"/>
    </sheetView>
  </sheetViews>
  <sheetFormatPr defaultColWidth="9" defaultRowHeight="15.75"/>
  <cols>
    <col min="1" max="1" width="4" style="76" customWidth="1"/>
    <col min="2" max="2" width="20.875" style="76" bestFit="1" customWidth="1"/>
    <col min="3" max="3" width="37.75" style="76" customWidth="1"/>
    <col min="4" max="4" width="11.25" style="76" customWidth="1"/>
    <col min="5" max="5" width="9.375" style="76" customWidth="1"/>
    <col min="6" max="6" width="13.375" style="76" customWidth="1"/>
    <col min="7" max="7" width="9.625" style="76" customWidth="1"/>
    <col min="8" max="16384" width="9" style="76"/>
  </cols>
  <sheetData>
    <row r="1" spans="1:8" ht="24.75" thickBot="1">
      <c r="A1" s="3103" t="s">
        <v>1250</v>
      </c>
      <c r="B1" s="3103"/>
      <c r="C1" s="3103"/>
      <c r="D1" s="3103"/>
      <c r="E1" s="3103"/>
      <c r="F1" s="3103"/>
      <c r="G1" s="3103"/>
    </row>
    <row r="2" spans="1:8" ht="58.5" customHeight="1" thickBot="1">
      <c r="A2" s="2790" t="s">
        <v>795</v>
      </c>
      <c r="B2" s="2791" t="s">
        <v>1251</v>
      </c>
      <c r="C2" s="2792" t="s">
        <v>1252</v>
      </c>
      <c r="D2" s="2792" t="s">
        <v>1253</v>
      </c>
      <c r="E2" s="2792" t="s">
        <v>1254</v>
      </c>
      <c r="F2" s="2791" t="s">
        <v>1255</v>
      </c>
      <c r="G2" s="2793" t="s">
        <v>1256</v>
      </c>
    </row>
    <row r="3" spans="1:8" ht="54.75" customHeight="1">
      <c r="A3" s="2794">
        <v>1</v>
      </c>
      <c r="B3" s="3107" t="s">
        <v>1257</v>
      </c>
      <c r="C3" s="2795" t="s">
        <v>1258</v>
      </c>
      <c r="D3" s="2795" t="s">
        <v>1259</v>
      </c>
      <c r="E3" s="2795">
        <v>67</v>
      </c>
      <c r="F3" s="2795">
        <v>8</v>
      </c>
      <c r="G3" s="2796">
        <f t="shared" ref="G3:G8" si="0">F3/E3</f>
        <v>0.11940298507462686</v>
      </c>
    </row>
    <row r="4" spans="1:8" ht="54.75" customHeight="1">
      <c r="A4" s="2785">
        <v>2</v>
      </c>
      <c r="B4" s="3108"/>
      <c r="C4" s="2519" t="s">
        <v>1260</v>
      </c>
      <c r="D4" s="2519" t="s">
        <v>1261</v>
      </c>
      <c r="E4" s="2519">
        <v>104</v>
      </c>
      <c r="F4" s="2519">
        <v>104</v>
      </c>
      <c r="G4" s="2786">
        <f t="shared" si="0"/>
        <v>1</v>
      </c>
    </row>
    <row r="5" spans="1:8" ht="54.75" customHeight="1">
      <c r="A5" s="2785">
        <v>3</v>
      </c>
      <c r="B5" s="3108" t="s">
        <v>1262</v>
      </c>
      <c r="C5" s="2519" t="s">
        <v>1263</v>
      </c>
      <c r="D5" s="2519" t="s">
        <v>1259</v>
      </c>
      <c r="E5" s="2519">
        <v>150</v>
      </c>
      <c r="F5" s="2519">
        <v>52</v>
      </c>
      <c r="G5" s="2786">
        <f t="shared" si="0"/>
        <v>0.34666666666666668</v>
      </c>
    </row>
    <row r="6" spans="1:8" ht="54.75" customHeight="1">
      <c r="A6" s="2785">
        <v>4</v>
      </c>
      <c r="B6" s="3108"/>
      <c r="C6" s="2519" t="s">
        <v>1264</v>
      </c>
      <c r="D6" s="2519" t="s">
        <v>1265</v>
      </c>
      <c r="E6" s="2519">
        <v>486</v>
      </c>
      <c r="F6" s="2519">
        <v>325</v>
      </c>
      <c r="G6" s="2786">
        <f t="shared" si="0"/>
        <v>0.66872427983539096</v>
      </c>
    </row>
    <row r="7" spans="1:8" ht="54.75" customHeight="1">
      <c r="A7" s="2785">
        <v>5</v>
      </c>
      <c r="B7" s="2520" t="s">
        <v>1266</v>
      </c>
      <c r="C7" s="2519" t="s">
        <v>1267</v>
      </c>
      <c r="D7" s="2519" t="s">
        <v>1259</v>
      </c>
      <c r="E7" s="2519">
        <v>118</v>
      </c>
      <c r="F7" s="2519">
        <v>118</v>
      </c>
      <c r="G7" s="2786">
        <f t="shared" si="0"/>
        <v>1</v>
      </c>
    </row>
    <row r="8" spans="1:8" ht="54.75" customHeight="1" thickBot="1">
      <c r="A8" s="2797">
        <v>6</v>
      </c>
      <c r="B8" s="2521" t="s">
        <v>1268</v>
      </c>
      <c r="C8" s="2521" t="s">
        <v>1269</v>
      </c>
      <c r="D8" s="2521" t="s">
        <v>1265</v>
      </c>
      <c r="E8" s="2521">
        <v>220</v>
      </c>
      <c r="F8" s="2521">
        <v>48</v>
      </c>
      <c r="G8" s="2798">
        <f t="shared" si="0"/>
        <v>0.21818181818181817</v>
      </c>
    </row>
    <row r="9" spans="1:8" ht="59.25" customHeight="1" thickBot="1">
      <c r="A9" s="3109" t="s">
        <v>1270</v>
      </c>
      <c r="B9" s="3110"/>
      <c r="C9" s="3110"/>
      <c r="D9" s="2792" t="s">
        <v>1253</v>
      </c>
      <c r="E9" s="2799" t="s">
        <v>1271</v>
      </c>
      <c r="F9" s="2800" t="s">
        <v>1255</v>
      </c>
      <c r="G9" s="2801" t="s">
        <v>1256</v>
      </c>
    </row>
    <row r="10" spans="1:8" ht="54.75" customHeight="1">
      <c r="A10" s="2794">
        <v>1</v>
      </c>
      <c r="B10" s="3111" t="s">
        <v>1272</v>
      </c>
      <c r="C10" s="2795" t="s">
        <v>1273</v>
      </c>
      <c r="D10" s="2795" t="s">
        <v>1259</v>
      </c>
      <c r="E10" s="2795">
        <v>315</v>
      </c>
      <c r="F10" s="2795">
        <v>284</v>
      </c>
      <c r="G10" s="2796">
        <f t="shared" ref="G10:G18" si="1">F10/E10</f>
        <v>0.9015873015873016</v>
      </c>
    </row>
    <row r="11" spans="1:8" ht="57" customHeight="1">
      <c r="A11" s="2785">
        <v>2</v>
      </c>
      <c r="B11" s="3112"/>
      <c r="C11" s="2519" t="s">
        <v>1274</v>
      </c>
      <c r="D11" s="2519" t="s">
        <v>1259</v>
      </c>
      <c r="E11" s="2519">
        <v>43</v>
      </c>
      <c r="F11" s="2519">
        <v>36</v>
      </c>
      <c r="G11" s="2786">
        <f t="shared" si="1"/>
        <v>0.83720930232558144</v>
      </c>
      <c r="H11" s="1157"/>
    </row>
    <row r="12" spans="1:8" ht="57" customHeight="1">
      <c r="A12" s="2785">
        <v>3</v>
      </c>
      <c r="B12" s="3112"/>
      <c r="C12" s="2519" t="s">
        <v>1275</v>
      </c>
      <c r="D12" s="2519" t="s">
        <v>1259</v>
      </c>
      <c r="E12" s="2519">
        <v>11</v>
      </c>
      <c r="F12" s="2519">
        <v>11</v>
      </c>
      <c r="G12" s="2786">
        <f t="shared" si="1"/>
        <v>1</v>
      </c>
      <c r="H12" s="1157"/>
    </row>
    <row r="13" spans="1:8" ht="57" customHeight="1">
      <c r="A13" s="2785">
        <v>4</v>
      </c>
      <c r="B13" s="3113"/>
      <c r="C13" s="2519" t="s">
        <v>1276</v>
      </c>
      <c r="D13" s="2519" t="s">
        <v>1259</v>
      </c>
      <c r="E13" s="2519">
        <v>21</v>
      </c>
      <c r="F13" s="2519">
        <v>21</v>
      </c>
      <c r="G13" s="2786">
        <f t="shared" si="1"/>
        <v>1</v>
      </c>
      <c r="H13" s="1157"/>
    </row>
    <row r="14" spans="1:8" ht="54.75" customHeight="1">
      <c r="A14" s="2785">
        <v>5</v>
      </c>
      <c r="B14" s="3104" t="s">
        <v>1277</v>
      </c>
      <c r="C14" s="2519" t="s">
        <v>1278</v>
      </c>
      <c r="D14" s="2519" t="s">
        <v>1265</v>
      </c>
      <c r="E14" s="2519">
        <v>1290</v>
      </c>
      <c r="F14" s="2519">
        <v>1255</v>
      </c>
      <c r="G14" s="2786">
        <f t="shared" si="1"/>
        <v>0.97286821705426352</v>
      </c>
    </row>
    <row r="15" spans="1:8" ht="54.75" customHeight="1">
      <c r="A15" s="2785">
        <v>6</v>
      </c>
      <c r="B15" s="3104"/>
      <c r="C15" s="2519" t="s">
        <v>1279</v>
      </c>
      <c r="D15" s="2519" t="s">
        <v>1265</v>
      </c>
      <c r="E15" s="2519">
        <v>360</v>
      </c>
      <c r="F15" s="2519">
        <v>70</v>
      </c>
      <c r="G15" s="2786">
        <f t="shared" si="1"/>
        <v>0.19444444444444445</v>
      </c>
    </row>
    <row r="16" spans="1:8" ht="39.75" customHeight="1">
      <c r="A16" s="2785">
        <v>7</v>
      </c>
      <c r="B16" s="3104" t="s">
        <v>1280</v>
      </c>
      <c r="C16" s="2519" t="s">
        <v>1281</v>
      </c>
      <c r="D16" s="2519" t="s">
        <v>1259</v>
      </c>
      <c r="E16" s="2519">
        <v>30</v>
      </c>
      <c r="F16" s="2519">
        <v>19</v>
      </c>
      <c r="G16" s="2786">
        <f t="shared" si="1"/>
        <v>0.6333333333333333</v>
      </c>
      <c r="H16" s="1158"/>
    </row>
    <row r="17" spans="1:8" ht="39.75" customHeight="1">
      <c r="A17" s="2785">
        <v>8</v>
      </c>
      <c r="B17" s="3104"/>
      <c r="C17" s="2519" t="s">
        <v>1282</v>
      </c>
      <c r="D17" s="2519" t="s">
        <v>1259</v>
      </c>
      <c r="E17" s="2519">
        <v>25</v>
      </c>
      <c r="F17" s="2519">
        <v>21</v>
      </c>
      <c r="G17" s="2786">
        <f t="shared" si="1"/>
        <v>0.84</v>
      </c>
      <c r="H17" s="1158"/>
    </row>
    <row r="18" spans="1:8" ht="39.75" customHeight="1" thickBot="1">
      <c r="A18" s="2787">
        <v>9</v>
      </c>
      <c r="B18" s="3105"/>
      <c r="C18" s="2788" t="s">
        <v>1283</v>
      </c>
      <c r="D18" s="2788" t="s">
        <v>1259</v>
      </c>
      <c r="E18" s="2788">
        <v>9</v>
      </c>
      <c r="F18" s="2788">
        <v>5</v>
      </c>
      <c r="G18" s="2789">
        <f t="shared" si="1"/>
        <v>0.55555555555555558</v>
      </c>
      <c r="H18" s="1158"/>
    </row>
    <row r="19" spans="1:8" ht="31.5" customHeight="1">
      <c r="A19" s="1159"/>
      <c r="B19" s="3106" t="s">
        <v>1284</v>
      </c>
      <c r="C19" s="3106"/>
      <c r="D19" s="3106"/>
      <c r="E19" s="3106"/>
      <c r="F19" s="3106"/>
      <c r="G19" s="3106"/>
    </row>
  </sheetData>
  <mergeCells count="8">
    <mergeCell ref="A1:G1"/>
    <mergeCell ref="B16:B18"/>
    <mergeCell ref="B19:G19"/>
    <mergeCell ref="B3:B4"/>
    <mergeCell ref="B5:B6"/>
    <mergeCell ref="A9:C9"/>
    <mergeCell ref="B10:B13"/>
    <mergeCell ref="B14:B15"/>
  </mergeCells>
  <printOptions horizontalCentered="1" verticalCentered="1"/>
  <pageMargins left="0.59055118110236227" right="0.59055118110236227" top="0.78740157480314965" bottom="0.59055118110236227" header="0" footer="0"/>
  <pageSetup paperSize="9" scale="78" firstPageNumber="6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P64"/>
  <sheetViews>
    <sheetView zoomScale="136" zoomScaleNormal="136" workbookViewId="0">
      <selection activeCell="A61" sqref="A1:O61"/>
    </sheetView>
  </sheetViews>
  <sheetFormatPr defaultColWidth="8" defaultRowHeight="19.5"/>
  <cols>
    <col min="1" max="5" width="8.125" style="1328" customWidth="1"/>
    <col min="6" max="6" width="24.75" style="1328" customWidth="1"/>
    <col min="7" max="7" width="3.625" style="1328" customWidth="1"/>
    <col min="8" max="8" width="5.625" style="1328" bestFit="1" customWidth="1"/>
    <col min="9" max="11" width="8.125" style="1386" customWidth="1"/>
    <col min="12" max="12" width="8.125" style="1387" customWidth="1"/>
    <col min="13" max="13" width="8.125" style="1386" customWidth="1"/>
    <col min="14" max="14" width="24.75" style="1387" customWidth="1"/>
    <col min="15" max="15" width="3.625" style="1328" customWidth="1"/>
    <col min="16" max="16384" width="8" style="1328"/>
  </cols>
  <sheetData>
    <row r="1" spans="1:15" ht="24" customHeight="1" thickBot="1">
      <c r="A1" s="3114" t="s">
        <v>1438</v>
      </c>
      <c r="B1" s="3114"/>
      <c r="C1" s="3114"/>
      <c r="D1" s="3114"/>
      <c r="E1" s="3114"/>
      <c r="F1" s="3114"/>
      <c r="G1" s="3114"/>
      <c r="H1" s="3114"/>
      <c r="I1" s="3114"/>
      <c r="J1" s="3114"/>
      <c r="K1" s="3114"/>
      <c r="L1" s="3114"/>
      <c r="M1" s="3114"/>
      <c r="N1" s="3114"/>
      <c r="O1" s="3114"/>
    </row>
    <row r="2" spans="1:15" ht="15" customHeight="1">
      <c r="A2" s="1329" t="s">
        <v>1439</v>
      </c>
      <c r="B2" s="1330" t="s">
        <v>1440</v>
      </c>
      <c r="C2" s="1330" t="s">
        <v>1441</v>
      </c>
      <c r="D2" s="1330" t="s">
        <v>1442</v>
      </c>
      <c r="E2" s="1331" t="s">
        <v>1443</v>
      </c>
      <c r="F2" s="3121" t="s">
        <v>1444</v>
      </c>
      <c r="G2" s="3123" t="s">
        <v>795</v>
      </c>
      <c r="H2" s="1332"/>
      <c r="I2" s="2802" t="s">
        <v>1439</v>
      </c>
      <c r="J2" s="2802" t="s">
        <v>1440</v>
      </c>
      <c r="K2" s="2802" t="s">
        <v>1441</v>
      </c>
      <c r="L2" s="2802" t="s">
        <v>1442</v>
      </c>
      <c r="M2" s="2802" t="s">
        <v>1443</v>
      </c>
      <c r="N2" s="3121" t="s">
        <v>1444</v>
      </c>
      <c r="O2" s="3123" t="s">
        <v>795</v>
      </c>
    </row>
    <row r="3" spans="1:15" ht="15" customHeight="1" thickBot="1">
      <c r="A3" s="1333" t="s">
        <v>1445</v>
      </c>
      <c r="B3" s="1334" t="s">
        <v>1446</v>
      </c>
      <c r="C3" s="1334" t="s">
        <v>1447</v>
      </c>
      <c r="D3" s="1334" t="s">
        <v>1448</v>
      </c>
      <c r="E3" s="1335" t="s">
        <v>1449</v>
      </c>
      <c r="F3" s="3122"/>
      <c r="G3" s="3124"/>
      <c r="H3" s="1332"/>
      <c r="I3" s="2803" t="s">
        <v>1445</v>
      </c>
      <c r="J3" s="2803" t="s">
        <v>1446</v>
      </c>
      <c r="K3" s="2803" t="s">
        <v>1447</v>
      </c>
      <c r="L3" s="2803" t="s">
        <v>1448</v>
      </c>
      <c r="M3" s="2803" t="s">
        <v>1449</v>
      </c>
      <c r="N3" s="3122"/>
      <c r="O3" s="3124"/>
    </row>
    <row r="4" spans="1:15" ht="12.75" customHeight="1">
      <c r="A4" s="1336">
        <v>1388</v>
      </c>
      <c r="B4" s="1337">
        <v>1388</v>
      </c>
      <c r="C4" s="1337">
        <v>1369</v>
      </c>
      <c r="D4" s="1337">
        <v>1435</v>
      </c>
      <c r="E4" s="1338">
        <v>41</v>
      </c>
      <c r="F4" s="1339" t="s">
        <v>1458</v>
      </c>
      <c r="G4" s="1340">
        <v>57</v>
      </c>
      <c r="H4" s="1339"/>
      <c r="I4" s="2804">
        <v>1295</v>
      </c>
      <c r="J4" s="2804">
        <v>1295</v>
      </c>
      <c r="K4" s="2804">
        <v>1291</v>
      </c>
      <c r="L4" s="2804">
        <v>1435</v>
      </c>
      <c r="M4" s="2804">
        <v>148</v>
      </c>
      <c r="N4" s="1341" t="s">
        <v>1451</v>
      </c>
      <c r="O4" s="1342">
        <v>1</v>
      </c>
    </row>
    <row r="5" spans="1:15" ht="12.75" customHeight="1">
      <c r="A5" s="1336">
        <v>1388</v>
      </c>
      <c r="B5" s="1337">
        <v>1388</v>
      </c>
      <c r="C5" s="1337">
        <v>1387</v>
      </c>
      <c r="D5" s="1337">
        <v>1435</v>
      </c>
      <c r="E5" s="1338">
        <v>10</v>
      </c>
      <c r="F5" s="1339" t="s">
        <v>1460</v>
      </c>
      <c r="G5" s="1340">
        <v>58</v>
      </c>
      <c r="H5" s="1339"/>
      <c r="I5" s="2522">
        <v>1350</v>
      </c>
      <c r="J5" s="2522">
        <v>1350</v>
      </c>
      <c r="K5" s="2522">
        <v>1291</v>
      </c>
      <c r="L5" s="2522">
        <v>1435</v>
      </c>
      <c r="M5" s="2522">
        <v>193</v>
      </c>
      <c r="N5" s="1343" t="s">
        <v>1453</v>
      </c>
      <c r="O5" s="1344">
        <v>2</v>
      </c>
    </row>
    <row r="6" spans="1:15" ht="12.75" customHeight="1">
      <c r="A6" s="1336">
        <v>1388</v>
      </c>
      <c r="B6" s="1337">
        <v>1388</v>
      </c>
      <c r="C6" s="1337">
        <v>1387</v>
      </c>
      <c r="D6" s="1337">
        <v>1435</v>
      </c>
      <c r="E6" s="1338">
        <v>87</v>
      </c>
      <c r="F6" s="1339" t="s">
        <v>1462</v>
      </c>
      <c r="G6" s="1340">
        <v>59</v>
      </c>
      <c r="H6" s="1339"/>
      <c r="I6" s="2522">
        <v>1299</v>
      </c>
      <c r="J6" s="2522">
        <v>1299</v>
      </c>
      <c r="K6" s="2522">
        <v>1298</v>
      </c>
      <c r="L6" s="2522">
        <v>1676</v>
      </c>
      <c r="M6" s="2522">
        <v>94</v>
      </c>
      <c r="N6" s="1343" t="s">
        <v>1455</v>
      </c>
      <c r="O6" s="1344">
        <v>3</v>
      </c>
    </row>
    <row r="7" spans="1:15" ht="12.75" customHeight="1">
      <c r="A7" s="1345">
        <v>1388</v>
      </c>
      <c r="B7" s="1346">
        <v>1388</v>
      </c>
      <c r="C7" s="1346">
        <v>1380</v>
      </c>
      <c r="D7" s="1346">
        <v>1435</v>
      </c>
      <c r="E7" s="1347">
        <v>265</v>
      </c>
      <c r="F7" s="1339" t="s">
        <v>1464</v>
      </c>
      <c r="G7" s="1340">
        <v>60</v>
      </c>
      <c r="H7" s="1339"/>
      <c r="I7" s="2522">
        <v>1317</v>
      </c>
      <c r="J7" s="2522">
        <v>1317</v>
      </c>
      <c r="K7" s="2522">
        <v>1306</v>
      </c>
      <c r="L7" s="2522">
        <v>1435</v>
      </c>
      <c r="M7" s="2522">
        <v>928</v>
      </c>
      <c r="N7" s="1343" t="s">
        <v>1457</v>
      </c>
      <c r="O7" s="1344">
        <v>4</v>
      </c>
    </row>
    <row r="8" spans="1:15" ht="12.75" customHeight="1">
      <c r="A8" s="1345">
        <v>1389</v>
      </c>
      <c r="B8" s="1346">
        <v>1389</v>
      </c>
      <c r="C8" s="1346">
        <v>1380</v>
      </c>
      <c r="D8" s="1346">
        <v>1435</v>
      </c>
      <c r="E8" s="1347">
        <v>315</v>
      </c>
      <c r="F8" s="1339" t="s">
        <v>1466</v>
      </c>
      <c r="G8" s="1340">
        <v>61</v>
      </c>
      <c r="H8" s="1339"/>
      <c r="I8" s="2522">
        <v>1316</v>
      </c>
      <c r="J8" s="2522">
        <v>1315</v>
      </c>
      <c r="K8" s="2522">
        <v>1306</v>
      </c>
      <c r="L8" s="2522">
        <v>1435</v>
      </c>
      <c r="M8" s="2522">
        <v>461</v>
      </c>
      <c r="N8" s="1343" t="s">
        <v>1459</v>
      </c>
      <c r="O8" s="1344">
        <v>5</v>
      </c>
    </row>
    <row r="9" spans="1:15" ht="12.75" customHeight="1">
      <c r="A9" s="1345">
        <v>1390</v>
      </c>
      <c r="B9" s="1346">
        <v>1390</v>
      </c>
      <c r="C9" s="1346">
        <v>1387</v>
      </c>
      <c r="D9" s="1346">
        <v>1435</v>
      </c>
      <c r="E9" s="1347">
        <v>16</v>
      </c>
      <c r="F9" s="1339" t="s">
        <v>1468</v>
      </c>
      <c r="G9" s="1340">
        <v>62</v>
      </c>
      <c r="H9" s="1339"/>
      <c r="I9" s="2522">
        <v>1336</v>
      </c>
      <c r="J9" s="2522">
        <v>1335</v>
      </c>
      <c r="K9" s="2522">
        <v>1316</v>
      </c>
      <c r="L9" s="2522">
        <v>1435</v>
      </c>
      <c r="M9" s="2522">
        <v>809</v>
      </c>
      <c r="N9" s="1343" t="s">
        <v>1461</v>
      </c>
      <c r="O9" s="1344">
        <v>6</v>
      </c>
    </row>
    <row r="10" spans="1:15" ht="12.75" customHeight="1">
      <c r="A10" s="1345">
        <v>1390</v>
      </c>
      <c r="B10" s="1346">
        <v>1390</v>
      </c>
      <c r="C10" s="1348" t="s">
        <v>95</v>
      </c>
      <c r="D10" s="1346">
        <v>1435</v>
      </c>
      <c r="E10" s="1347">
        <v>90</v>
      </c>
      <c r="F10" s="1339" t="s">
        <v>1470</v>
      </c>
      <c r="G10" s="1340">
        <v>63</v>
      </c>
      <c r="H10" s="1339"/>
      <c r="I10" s="2522">
        <v>1337</v>
      </c>
      <c r="J10" s="2522">
        <v>1336</v>
      </c>
      <c r="K10" s="2522">
        <v>1317</v>
      </c>
      <c r="L10" s="2522">
        <v>1435</v>
      </c>
      <c r="M10" s="2522">
        <v>736</v>
      </c>
      <c r="N10" s="1343" t="s">
        <v>1463</v>
      </c>
      <c r="O10" s="1344">
        <v>7</v>
      </c>
    </row>
    <row r="11" spans="1:15" ht="12.75" customHeight="1">
      <c r="A11" s="1345">
        <v>1390</v>
      </c>
      <c r="B11" s="1346">
        <v>1390</v>
      </c>
      <c r="C11" s="1348" t="s">
        <v>95</v>
      </c>
      <c r="D11" s="1346">
        <v>1435</v>
      </c>
      <c r="E11" s="1347">
        <v>49</v>
      </c>
      <c r="F11" s="1339" t="s">
        <v>1472</v>
      </c>
      <c r="G11" s="1340">
        <v>64</v>
      </c>
      <c r="H11" s="1339"/>
      <c r="I11" s="2522">
        <v>1350</v>
      </c>
      <c r="J11" s="2522">
        <v>1350</v>
      </c>
      <c r="K11" s="2522">
        <v>1317</v>
      </c>
      <c r="L11" s="2522">
        <v>1435</v>
      </c>
      <c r="M11" s="2522">
        <v>848</v>
      </c>
      <c r="N11" s="1343" t="s">
        <v>1465</v>
      </c>
      <c r="O11" s="1344">
        <v>8</v>
      </c>
    </row>
    <row r="12" spans="1:15" ht="12.75" customHeight="1">
      <c r="A12" s="1345">
        <v>1390</v>
      </c>
      <c r="B12" s="1346">
        <v>1390</v>
      </c>
      <c r="C12" s="1346">
        <v>1384</v>
      </c>
      <c r="D12" s="1346">
        <v>1435</v>
      </c>
      <c r="E12" s="1347">
        <v>12</v>
      </c>
      <c r="F12" s="1339" t="s">
        <v>1474</v>
      </c>
      <c r="G12" s="1340">
        <v>65</v>
      </c>
      <c r="H12" s="1339"/>
      <c r="I12" s="2522">
        <v>1321</v>
      </c>
      <c r="J12" s="2522">
        <v>1321</v>
      </c>
      <c r="K12" s="2522">
        <v>1320</v>
      </c>
      <c r="L12" s="2522">
        <v>1435</v>
      </c>
      <c r="M12" s="2522">
        <v>121</v>
      </c>
      <c r="N12" s="1343" t="s">
        <v>1467</v>
      </c>
      <c r="O12" s="1344">
        <v>9</v>
      </c>
    </row>
    <row r="13" spans="1:15" ht="12.75" customHeight="1">
      <c r="A13" s="1345">
        <v>1390</v>
      </c>
      <c r="B13" s="1346">
        <v>1390</v>
      </c>
      <c r="C13" s="1346">
        <v>1387</v>
      </c>
      <c r="D13" s="1346">
        <v>1435</v>
      </c>
      <c r="E13" s="1347">
        <v>32</v>
      </c>
      <c r="F13" s="1339" t="s">
        <v>1476</v>
      </c>
      <c r="G13" s="1340">
        <v>66</v>
      </c>
      <c r="H13" s="1339"/>
      <c r="I13" s="2522">
        <v>1329</v>
      </c>
      <c r="J13" s="2522">
        <v>1329</v>
      </c>
      <c r="K13" s="2522">
        <v>1328</v>
      </c>
      <c r="L13" s="2522">
        <v>1435</v>
      </c>
      <c r="M13" s="2522">
        <v>12</v>
      </c>
      <c r="N13" s="1343" t="s">
        <v>1469</v>
      </c>
      <c r="O13" s="1344">
        <v>10</v>
      </c>
    </row>
    <row r="14" spans="1:15" ht="12.75" customHeight="1">
      <c r="A14" s="1345">
        <v>1391</v>
      </c>
      <c r="B14" s="1346">
        <v>1391</v>
      </c>
      <c r="C14" s="1346">
        <v>1390</v>
      </c>
      <c r="D14" s="1346">
        <v>1435</v>
      </c>
      <c r="E14" s="1347">
        <v>168</v>
      </c>
      <c r="F14" s="1339" t="s">
        <v>1478</v>
      </c>
      <c r="G14" s="1340">
        <v>67</v>
      </c>
      <c r="H14" s="1339"/>
      <c r="I14" s="2522">
        <v>1339</v>
      </c>
      <c r="J14" s="2522">
        <v>1339</v>
      </c>
      <c r="K14" s="2522">
        <v>1338</v>
      </c>
      <c r="L14" s="2522">
        <v>1435</v>
      </c>
      <c r="M14" s="2522">
        <v>35</v>
      </c>
      <c r="N14" s="1343" t="s">
        <v>1471</v>
      </c>
      <c r="O14" s="1344">
        <v>11</v>
      </c>
    </row>
    <row r="15" spans="1:15" ht="12.75" customHeight="1">
      <c r="A15" s="1345">
        <v>1391</v>
      </c>
      <c r="B15" s="1346">
        <v>1391</v>
      </c>
      <c r="C15" s="1346">
        <v>1389</v>
      </c>
      <c r="D15" s="1346">
        <v>1435</v>
      </c>
      <c r="E15" s="1347">
        <v>30</v>
      </c>
      <c r="F15" s="1339" t="s">
        <v>1480</v>
      </c>
      <c r="G15" s="1340">
        <v>68</v>
      </c>
      <c r="H15" s="1339"/>
      <c r="I15" s="2522">
        <v>1350</v>
      </c>
      <c r="J15" s="2522">
        <v>1348</v>
      </c>
      <c r="K15" s="2522">
        <v>1347</v>
      </c>
      <c r="L15" s="2522">
        <v>1435</v>
      </c>
      <c r="M15" s="2522">
        <v>111</v>
      </c>
      <c r="N15" s="1343" t="s">
        <v>1473</v>
      </c>
      <c r="O15" s="1344">
        <v>12</v>
      </c>
    </row>
    <row r="16" spans="1:15" ht="12.75" customHeight="1">
      <c r="A16" s="1345">
        <v>1391</v>
      </c>
      <c r="B16" s="1346">
        <v>1391</v>
      </c>
      <c r="C16" s="1346">
        <v>1389</v>
      </c>
      <c r="D16" s="1346">
        <v>1435</v>
      </c>
      <c r="E16" s="1347">
        <v>26</v>
      </c>
      <c r="F16" s="1339" t="s">
        <v>1482</v>
      </c>
      <c r="G16" s="1340">
        <v>69</v>
      </c>
      <c r="H16" s="1339"/>
      <c r="I16" s="2522">
        <v>1357</v>
      </c>
      <c r="J16" s="2522">
        <v>1356</v>
      </c>
      <c r="K16" s="2522">
        <v>1353</v>
      </c>
      <c r="L16" s="2522">
        <v>1435</v>
      </c>
      <c r="M16" s="2522">
        <v>78</v>
      </c>
      <c r="N16" s="1343" t="s">
        <v>1475</v>
      </c>
      <c r="O16" s="1344">
        <v>13</v>
      </c>
    </row>
    <row r="17" spans="1:15" ht="12.75" customHeight="1">
      <c r="A17" s="1336">
        <v>1391</v>
      </c>
      <c r="B17" s="1349">
        <v>1391</v>
      </c>
      <c r="C17" s="1337">
        <v>1390</v>
      </c>
      <c r="D17" s="1337">
        <v>1435</v>
      </c>
      <c r="E17" s="1338">
        <v>7</v>
      </c>
      <c r="F17" s="1339" t="s">
        <v>1484</v>
      </c>
      <c r="G17" s="1340">
        <v>70</v>
      </c>
      <c r="H17" s="1339"/>
      <c r="I17" s="2522">
        <v>1373</v>
      </c>
      <c r="J17" s="2522">
        <v>1373</v>
      </c>
      <c r="K17" s="2522">
        <v>1360</v>
      </c>
      <c r="L17" s="2522">
        <v>1435</v>
      </c>
      <c r="M17" s="2522">
        <v>626</v>
      </c>
      <c r="N17" s="1343" t="s">
        <v>1477</v>
      </c>
      <c r="O17" s="1344">
        <v>14</v>
      </c>
    </row>
    <row r="18" spans="1:15" ht="12.75" customHeight="1">
      <c r="A18" s="1350">
        <v>1392</v>
      </c>
      <c r="B18" s="1351">
        <v>1392</v>
      </c>
      <c r="C18" s="1351">
        <v>1390</v>
      </c>
      <c r="D18" s="1351">
        <v>1435</v>
      </c>
      <c r="E18" s="1352">
        <v>53</v>
      </c>
      <c r="F18" s="1339" t="s">
        <v>1486</v>
      </c>
      <c r="G18" s="1340">
        <v>71</v>
      </c>
      <c r="H18" s="1339"/>
      <c r="I18" s="2522">
        <v>1373</v>
      </c>
      <c r="J18" s="2522">
        <v>1373</v>
      </c>
      <c r="K18" s="2522">
        <v>1360</v>
      </c>
      <c r="L18" s="2522">
        <v>1435</v>
      </c>
      <c r="M18" s="2522">
        <v>14</v>
      </c>
      <c r="N18" s="1343" t="s">
        <v>1479</v>
      </c>
      <c r="O18" s="1344">
        <v>15</v>
      </c>
    </row>
    <row r="19" spans="1:15" ht="12.75" customHeight="1">
      <c r="A19" s="1345">
        <v>1392</v>
      </c>
      <c r="B19" s="1346">
        <v>1392</v>
      </c>
      <c r="C19" s="1346">
        <v>1390</v>
      </c>
      <c r="D19" s="1346">
        <v>1435</v>
      </c>
      <c r="E19" s="1347">
        <v>37</v>
      </c>
      <c r="F19" s="1339" t="s">
        <v>1488</v>
      </c>
      <c r="G19" s="1340">
        <v>72</v>
      </c>
      <c r="H19" s="1339"/>
      <c r="I19" s="2522">
        <v>1370</v>
      </c>
      <c r="J19" s="2522">
        <v>1370</v>
      </c>
      <c r="K19" s="2522">
        <v>1369</v>
      </c>
      <c r="L19" s="2522">
        <v>1435</v>
      </c>
      <c r="M19" s="2522">
        <v>44</v>
      </c>
      <c r="N19" s="1343" t="s">
        <v>1481</v>
      </c>
      <c r="O19" s="1344">
        <v>16</v>
      </c>
    </row>
    <row r="20" spans="1:15" ht="12.75" customHeight="1">
      <c r="A20" s="1345">
        <v>1392</v>
      </c>
      <c r="B20" s="1346">
        <v>1392</v>
      </c>
      <c r="C20" s="1346">
        <v>1390</v>
      </c>
      <c r="D20" s="1346">
        <v>1435</v>
      </c>
      <c r="E20" s="1347">
        <v>79</v>
      </c>
      <c r="F20" s="1339" t="s">
        <v>1490</v>
      </c>
      <c r="G20" s="1340">
        <v>73</v>
      </c>
      <c r="H20" s="1339"/>
      <c r="I20" s="2522">
        <v>1375</v>
      </c>
      <c r="J20" s="2522">
        <v>1375</v>
      </c>
      <c r="K20" s="2522">
        <v>1365</v>
      </c>
      <c r="L20" s="2522">
        <v>1435</v>
      </c>
      <c r="M20" s="2522">
        <v>114</v>
      </c>
      <c r="N20" s="1343" t="s">
        <v>1483</v>
      </c>
      <c r="O20" s="1344">
        <v>17</v>
      </c>
    </row>
    <row r="21" spans="1:15" ht="12.75" customHeight="1">
      <c r="A21" s="1345">
        <v>1392</v>
      </c>
      <c r="B21" s="1346">
        <v>1392</v>
      </c>
      <c r="C21" s="1346">
        <v>1391</v>
      </c>
      <c r="D21" s="1346">
        <v>1435</v>
      </c>
      <c r="E21" s="1347">
        <v>15</v>
      </c>
      <c r="F21" s="1339" t="s">
        <v>1492</v>
      </c>
      <c r="G21" s="1340">
        <v>74</v>
      </c>
      <c r="H21" s="1339"/>
      <c r="I21" s="2522">
        <v>1375</v>
      </c>
      <c r="J21" s="2522">
        <v>1375</v>
      </c>
      <c r="K21" s="2522">
        <v>1369</v>
      </c>
      <c r="L21" s="2522">
        <v>1435</v>
      </c>
      <c r="M21" s="2522">
        <v>20</v>
      </c>
      <c r="N21" s="1343" t="s">
        <v>1485</v>
      </c>
      <c r="O21" s="1344">
        <v>18</v>
      </c>
    </row>
    <row r="22" spans="1:15" ht="12.75" customHeight="1">
      <c r="A22" s="1345">
        <v>1393</v>
      </c>
      <c r="B22" s="1346">
        <v>1393</v>
      </c>
      <c r="C22" s="1346">
        <v>1391</v>
      </c>
      <c r="D22" s="1346">
        <v>1435</v>
      </c>
      <c r="E22" s="1353">
        <v>13</v>
      </c>
      <c r="F22" s="1354" t="s">
        <v>1494</v>
      </c>
      <c r="G22" s="1340">
        <v>75</v>
      </c>
      <c r="H22" s="1339"/>
      <c r="I22" s="2522">
        <v>1375</v>
      </c>
      <c r="J22" s="2522">
        <v>1375</v>
      </c>
      <c r="K22" s="2522">
        <v>1371</v>
      </c>
      <c r="L22" s="2522">
        <v>1435</v>
      </c>
      <c r="M22" s="2522">
        <v>165</v>
      </c>
      <c r="N22" s="1343" t="s">
        <v>1487</v>
      </c>
      <c r="O22" s="1344">
        <v>19</v>
      </c>
    </row>
    <row r="23" spans="1:15" ht="12.75" customHeight="1">
      <c r="A23" s="3115" t="s">
        <v>1496</v>
      </c>
      <c r="B23" s="3116"/>
      <c r="C23" s="3116"/>
      <c r="D23" s="3117"/>
      <c r="E23" s="1353">
        <v>-12</v>
      </c>
      <c r="F23" s="1354" t="s">
        <v>1497</v>
      </c>
      <c r="G23" s="1340">
        <v>76</v>
      </c>
      <c r="H23" s="1339"/>
      <c r="I23" s="2522">
        <v>1378</v>
      </c>
      <c r="J23" s="2522">
        <v>1378</v>
      </c>
      <c r="K23" s="2522">
        <v>1376</v>
      </c>
      <c r="L23" s="2522">
        <v>1435</v>
      </c>
      <c r="M23" s="2522">
        <v>38</v>
      </c>
      <c r="N23" s="1343" t="s">
        <v>1489</v>
      </c>
      <c r="O23" s="1344">
        <v>20</v>
      </c>
    </row>
    <row r="24" spans="1:15" ht="12.75" customHeight="1">
      <c r="A24" s="3115" t="s">
        <v>1496</v>
      </c>
      <c r="B24" s="3116"/>
      <c r="C24" s="3116"/>
      <c r="D24" s="3117"/>
      <c r="E24" s="1353">
        <v>-32</v>
      </c>
      <c r="F24" s="1354" t="s">
        <v>1499</v>
      </c>
      <c r="G24" s="1340">
        <v>77</v>
      </c>
      <c r="H24" s="1339"/>
      <c r="I24" s="2522">
        <v>1375</v>
      </c>
      <c r="J24" s="2522">
        <v>1375</v>
      </c>
      <c r="K24" s="2522">
        <v>1371</v>
      </c>
      <c r="L24" s="2522">
        <v>1435</v>
      </c>
      <c r="M24" s="2522">
        <v>22</v>
      </c>
      <c r="N24" s="1343" t="s">
        <v>1491</v>
      </c>
      <c r="O24" s="1344">
        <v>21</v>
      </c>
    </row>
    <row r="25" spans="1:15" ht="12.75" customHeight="1">
      <c r="A25" s="1345">
        <v>1394</v>
      </c>
      <c r="B25" s="1346">
        <v>1394</v>
      </c>
      <c r="C25" s="1346">
        <v>1394</v>
      </c>
      <c r="D25" s="1346">
        <v>1435</v>
      </c>
      <c r="E25" s="1355">
        <v>83</v>
      </c>
      <c r="F25" s="1354" t="s">
        <v>1501</v>
      </c>
      <c r="G25" s="1340">
        <v>78</v>
      </c>
      <c r="H25" s="1339"/>
      <c r="I25" s="2522">
        <v>1380</v>
      </c>
      <c r="J25" s="2522">
        <v>1380</v>
      </c>
      <c r="K25" s="2522">
        <v>1369</v>
      </c>
      <c r="L25" s="2522">
        <v>1435</v>
      </c>
      <c r="M25" s="2522">
        <v>540</v>
      </c>
      <c r="N25" s="1343" t="s">
        <v>1493</v>
      </c>
      <c r="O25" s="1344">
        <v>22</v>
      </c>
    </row>
    <row r="26" spans="1:15" ht="12.75" customHeight="1">
      <c r="A26" s="1345">
        <v>1395</v>
      </c>
      <c r="B26" s="1346">
        <v>1395</v>
      </c>
      <c r="C26" s="1346">
        <v>1390</v>
      </c>
      <c r="D26" s="1346">
        <v>1435</v>
      </c>
      <c r="E26" s="1338">
        <v>16</v>
      </c>
      <c r="F26" s="1354" t="s">
        <v>1503</v>
      </c>
      <c r="G26" s="1340">
        <v>79</v>
      </c>
      <c r="H26" s="1339"/>
      <c r="I26" s="2522">
        <v>1380</v>
      </c>
      <c r="J26" s="2522">
        <v>1380</v>
      </c>
      <c r="K26" s="2522">
        <v>1377</v>
      </c>
      <c r="L26" s="2522">
        <v>1435</v>
      </c>
      <c r="M26" s="2522">
        <v>233</v>
      </c>
      <c r="N26" s="1343" t="s">
        <v>1495</v>
      </c>
      <c r="O26" s="1344">
        <v>23</v>
      </c>
    </row>
    <row r="27" spans="1:15" ht="12.75" customHeight="1">
      <c r="A27" s="1345">
        <v>1396</v>
      </c>
      <c r="B27" s="1346">
        <v>1396</v>
      </c>
      <c r="C27" s="1346">
        <v>1390</v>
      </c>
      <c r="D27" s="1346">
        <v>1435</v>
      </c>
      <c r="E27" s="1338">
        <v>62</v>
      </c>
      <c r="F27" s="1356" t="s">
        <v>1505</v>
      </c>
      <c r="G27" s="1340">
        <v>80</v>
      </c>
      <c r="H27" s="1339"/>
      <c r="I27" s="2522">
        <v>1375</v>
      </c>
      <c r="J27" s="2522">
        <v>1375</v>
      </c>
      <c r="K27" s="2522">
        <v>1371</v>
      </c>
      <c r="L27" s="2522">
        <v>1524</v>
      </c>
      <c r="M27" s="2522">
        <v>4</v>
      </c>
      <c r="N27" s="1343" t="s">
        <v>1498</v>
      </c>
      <c r="O27" s="1344">
        <v>24</v>
      </c>
    </row>
    <row r="28" spans="1:15" ht="12.75" customHeight="1">
      <c r="A28" s="1345">
        <v>1396</v>
      </c>
      <c r="B28" s="1346">
        <v>1396</v>
      </c>
      <c r="C28" s="1346">
        <v>1389</v>
      </c>
      <c r="D28" s="1346">
        <v>1435</v>
      </c>
      <c r="E28" s="1338">
        <v>30</v>
      </c>
      <c r="F28" s="1356" t="s">
        <v>1507</v>
      </c>
      <c r="G28" s="1340">
        <v>81</v>
      </c>
      <c r="H28" s="1339"/>
      <c r="I28" s="2522">
        <v>1379</v>
      </c>
      <c r="J28" s="2522">
        <v>1379</v>
      </c>
      <c r="K28" s="2522">
        <v>1378</v>
      </c>
      <c r="L28" s="2522">
        <v>1435</v>
      </c>
      <c r="M28" s="2522">
        <v>16</v>
      </c>
      <c r="N28" s="1343" t="s">
        <v>1500</v>
      </c>
      <c r="O28" s="1344">
        <v>25</v>
      </c>
    </row>
    <row r="29" spans="1:15" ht="12.75" customHeight="1">
      <c r="A29" s="1345">
        <v>1396</v>
      </c>
      <c r="B29" s="1346">
        <v>1396</v>
      </c>
      <c r="C29" s="1346">
        <v>1391</v>
      </c>
      <c r="D29" s="1346">
        <v>1435</v>
      </c>
      <c r="E29" s="1338">
        <v>176</v>
      </c>
      <c r="F29" s="1356" t="s">
        <v>1509</v>
      </c>
      <c r="G29" s="1340">
        <v>82</v>
      </c>
      <c r="H29" s="1339"/>
      <c r="I29" s="2522">
        <v>1376</v>
      </c>
      <c r="J29" s="2522">
        <v>1375</v>
      </c>
      <c r="K29" s="2522">
        <v>1374</v>
      </c>
      <c r="L29" s="2522">
        <v>1435</v>
      </c>
      <c r="M29" s="2522">
        <v>254</v>
      </c>
      <c r="N29" s="1343" t="s">
        <v>1502</v>
      </c>
      <c r="O29" s="1344">
        <v>26</v>
      </c>
    </row>
    <row r="30" spans="1:15" ht="12.75" customHeight="1">
      <c r="A30" s="1345">
        <v>1396</v>
      </c>
      <c r="B30" s="1346">
        <v>1396</v>
      </c>
      <c r="C30" s="1357" t="s">
        <v>95</v>
      </c>
      <c r="D30" s="1346">
        <v>1435</v>
      </c>
      <c r="E30" s="1338">
        <v>238</v>
      </c>
      <c r="F30" s="1356" t="s">
        <v>1511</v>
      </c>
      <c r="G30" s="1340">
        <v>83</v>
      </c>
      <c r="H30" s="1339"/>
      <c r="I30" s="2522">
        <v>1381</v>
      </c>
      <c r="J30" s="2522">
        <v>1381</v>
      </c>
      <c r="K30" s="2522">
        <v>1376</v>
      </c>
      <c r="L30" s="2522">
        <v>1435</v>
      </c>
      <c r="M30" s="2522">
        <v>33</v>
      </c>
      <c r="N30" s="1343" t="s">
        <v>1504</v>
      </c>
      <c r="O30" s="1344">
        <v>27</v>
      </c>
    </row>
    <row r="31" spans="1:15" ht="12.75" customHeight="1">
      <c r="A31" s="1345">
        <v>1396</v>
      </c>
      <c r="B31" s="1346">
        <v>1396</v>
      </c>
      <c r="C31" s="1357" t="s">
        <v>95</v>
      </c>
      <c r="D31" s="1346">
        <v>1435</v>
      </c>
      <c r="E31" s="1338">
        <v>30</v>
      </c>
      <c r="F31" s="1356" t="s">
        <v>1513</v>
      </c>
      <c r="G31" s="1340">
        <v>84</v>
      </c>
      <c r="H31" s="1339"/>
      <c r="I31" s="2522">
        <v>1382</v>
      </c>
      <c r="J31" s="2522">
        <v>1381</v>
      </c>
      <c r="K31" s="2522">
        <v>1377</v>
      </c>
      <c r="L31" s="2522">
        <v>1435</v>
      </c>
      <c r="M31" s="2522">
        <v>24</v>
      </c>
      <c r="N31" s="1343" t="s">
        <v>1506</v>
      </c>
      <c r="O31" s="1344">
        <v>28</v>
      </c>
    </row>
    <row r="32" spans="1:15" ht="12.75" customHeight="1">
      <c r="A32" s="3115" t="s">
        <v>1515</v>
      </c>
      <c r="B32" s="3116"/>
      <c r="C32" s="3116"/>
      <c r="D32" s="3117"/>
      <c r="E32" s="1353">
        <v>-30</v>
      </c>
      <c r="F32" s="1356" t="s">
        <v>1516</v>
      </c>
      <c r="G32" s="1340">
        <v>85</v>
      </c>
      <c r="H32" s="1339"/>
      <c r="I32" s="2522">
        <v>1377</v>
      </c>
      <c r="J32" s="2522">
        <v>1377</v>
      </c>
      <c r="K32" s="2522">
        <v>1372</v>
      </c>
      <c r="L32" s="2522">
        <v>1435</v>
      </c>
      <c r="M32" s="2522">
        <v>124</v>
      </c>
      <c r="N32" s="1343" t="s">
        <v>1508</v>
      </c>
      <c r="O32" s="1344">
        <v>29</v>
      </c>
    </row>
    <row r="33" spans="1:15" ht="12.75" customHeight="1">
      <c r="A33" s="1345">
        <v>1396</v>
      </c>
      <c r="B33" s="1346">
        <v>1396</v>
      </c>
      <c r="C33" s="1346">
        <v>1395</v>
      </c>
      <c r="D33" s="1346">
        <v>1435</v>
      </c>
      <c r="E33" s="1338">
        <v>38</v>
      </c>
      <c r="F33" s="1356" t="s">
        <v>1518</v>
      </c>
      <c r="G33" s="1340">
        <v>86</v>
      </c>
      <c r="H33" s="1339"/>
      <c r="I33" s="2522">
        <v>1380</v>
      </c>
      <c r="J33" s="2522">
        <v>1379</v>
      </c>
      <c r="K33" s="2522">
        <v>1374</v>
      </c>
      <c r="L33" s="2522">
        <v>1435</v>
      </c>
      <c r="M33" s="2522">
        <v>20</v>
      </c>
      <c r="N33" s="1343" t="s">
        <v>1510</v>
      </c>
      <c r="O33" s="1344">
        <v>30</v>
      </c>
    </row>
    <row r="34" spans="1:15" ht="12.75" customHeight="1">
      <c r="A34" s="1345">
        <v>1396</v>
      </c>
      <c r="B34" s="1346">
        <v>1396</v>
      </c>
      <c r="C34" s="1346">
        <v>1389</v>
      </c>
      <c r="D34" s="1346">
        <v>1435</v>
      </c>
      <c r="E34" s="1347">
        <v>20</v>
      </c>
      <c r="F34" s="1356" t="s">
        <v>1520</v>
      </c>
      <c r="G34" s="1340">
        <v>87</v>
      </c>
      <c r="H34" s="1339"/>
      <c r="I34" s="2522">
        <v>1377</v>
      </c>
      <c r="J34" s="2522">
        <v>1377</v>
      </c>
      <c r="K34" s="2522">
        <v>1369</v>
      </c>
      <c r="L34" s="2522">
        <v>1435</v>
      </c>
      <c r="M34" s="2522">
        <v>201</v>
      </c>
      <c r="N34" s="1343" t="s">
        <v>1512</v>
      </c>
      <c r="O34" s="1344">
        <v>31</v>
      </c>
    </row>
    <row r="35" spans="1:15" ht="12.75" customHeight="1">
      <c r="A35" s="1345">
        <v>1397</v>
      </c>
      <c r="B35" s="1346">
        <v>1397</v>
      </c>
      <c r="C35" s="1346">
        <v>1395</v>
      </c>
      <c r="D35" s="1346">
        <v>1435</v>
      </c>
      <c r="E35" s="1347">
        <v>37</v>
      </c>
      <c r="F35" s="1339" t="s">
        <v>1522</v>
      </c>
      <c r="G35" s="1340">
        <v>88</v>
      </c>
      <c r="H35" s="1339"/>
      <c r="I35" s="2522">
        <v>1379</v>
      </c>
      <c r="J35" s="2522">
        <v>1379</v>
      </c>
      <c r="K35" s="2522">
        <v>1372</v>
      </c>
      <c r="L35" s="2522">
        <v>1435</v>
      </c>
      <c r="M35" s="2522">
        <v>124</v>
      </c>
      <c r="N35" s="1343" t="s">
        <v>1514</v>
      </c>
      <c r="O35" s="1344">
        <v>32</v>
      </c>
    </row>
    <row r="36" spans="1:15" ht="12.75" customHeight="1">
      <c r="A36" s="1345">
        <v>1397</v>
      </c>
      <c r="B36" s="1346">
        <v>1397</v>
      </c>
      <c r="C36" s="1346">
        <v>1390</v>
      </c>
      <c r="D36" s="1346">
        <v>1435</v>
      </c>
      <c r="E36" s="1347">
        <v>97</v>
      </c>
      <c r="F36" s="1358" t="s">
        <v>1524</v>
      </c>
      <c r="G36" s="1340">
        <v>89</v>
      </c>
      <c r="H36" s="1339"/>
      <c r="I36" s="2522">
        <v>1380</v>
      </c>
      <c r="J36" s="2522">
        <v>1380</v>
      </c>
      <c r="K36" s="2522">
        <v>1369</v>
      </c>
      <c r="L36" s="2522">
        <v>1435</v>
      </c>
      <c r="M36" s="2522">
        <v>17</v>
      </c>
      <c r="N36" s="1343" t="s">
        <v>1517</v>
      </c>
      <c r="O36" s="1344">
        <v>33</v>
      </c>
    </row>
    <row r="37" spans="1:15" ht="12.75" customHeight="1">
      <c r="A37" s="1345">
        <v>1397</v>
      </c>
      <c r="B37" s="1346">
        <v>1397</v>
      </c>
      <c r="C37" s="1346">
        <v>1397</v>
      </c>
      <c r="D37" s="1346">
        <v>1435</v>
      </c>
      <c r="E37" s="1347">
        <v>19</v>
      </c>
      <c r="F37" s="1358" t="s">
        <v>1526</v>
      </c>
      <c r="G37" s="1340">
        <v>90</v>
      </c>
      <c r="H37" s="1354"/>
      <c r="I37" s="2522">
        <v>1381</v>
      </c>
      <c r="J37" s="2522">
        <v>1381</v>
      </c>
      <c r="K37" s="2522">
        <v>1378</v>
      </c>
      <c r="L37" s="2522">
        <v>1435</v>
      </c>
      <c r="M37" s="2522">
        <v>4</v>
      </c>
      <c r="N37" s="1343" t="s">
        <v>1519</v>
      </c>
      <c r="O37" s="1344">
        <v>34</v>
      </c>
    </row>
    <row r="38" spans="1:15" ht="12.75" customHeight="1">
      <c r="A38" s="1345">
        <v>1397</v>
      </c>
      <c r="B38" s="1346">
        <v>1397</v>
      </c>
      <c r="C38" s="1346">
        <v>1395</v>
      </c>
      <c r="D38" s="1346">
        <v>1435</v>
      </c>
      <c r="E38" s="1347">
        <v>56</v>
      </c>
      <c r="F38" s="1358" t="s">
        <v>1528</v>
      </c>
      <c r="G38" s="1340">
        <v>91</v>
      </c>
      <c r="H38" s="1354"/>
      <c r="I38" s="2522">
        <v>1377</v>
      </c>
      <c r="J38" s="2522">
        <v>1377</v>
      </c>
      <c r="K38" s="2522">
        <v>1369</v>
      </c>
      <c r="L38" s="2522">
        <v>1435</v>
      </c>
      <c r="M38" s="2522">
        <v>19</v>
      </c>
      <c r="N38" s="1343" t="s">
        <v>1521</v>
      </c>
      <c r="O38" s="1344">
        <v>35</v>
      </c>
    </row>
    <row r="39" spans="1:15" ht="12.75" customHeight="1">
      <c r="A39" s="1345">
        <v>1392</v>
      </c>
      <c r="B39" s="1346">
        <v>1391</v>
      </c>
      <c r="C39" s="1346">
        <v>1391</v>
      </c>
      <c r="D39" s="1346">
        <v>1435</v>
      </c>
      <c r="E39" s="1347">
        <v>13</v>
      </c>
      <c r="F39" s="1358" t="s">
        <v>1530</v>
      </c>
      <c r="G39" s="1340">
        <v>92</v>
      </c>
      <c r="H39" s="1354"/>
      <c r="I39" s="2522">
        <v>1377</v>
      </c>
      <c r="J39" s="2522">
        <v>1377</v>
      </c>
      <c r="K39" s="2522">
        <v>1376</v>
      </c>
      <c r="L39" s="2522">
        <v>1435</v>
      </c>
      <c r="M39" s="2522">
        <v>17</v>
      </c>
      <c r="N39" s="1343" t="s">
        <v>1523</v>
      </c>
      <c r="O39" s="1344">
        <v>36</v>
      </c>
    </row>
    <row r="40" spans="1:15" ht="12.75" customHeight="1">
      <c r="A40" s="1345">
        <v>1397</v>
      </c>
      <c r="B40" s="1346">
        <v>1397</v>
      </c>
      <c r="C40" s="1346">
        <v>1395</v>
      </c>
      <c r="D40" s="1346">
        <v>1435</v>
      </c>
      <c r="E40" s="1347">
        <v>14</v>
      </c>
      <c r="F40" s="1360" t="s">
        <v>1532</v>
      </c>
      <c r="G40" s="1340">
        <v>93</v>
      </c>
      <c r="H40" s="1354"/>
      <c r="I40" s="2522">
        <v>1384</v>
      </c>
      <c r="J40" s="2522">
        <v>1384</v>
      </c>
      <c r="K40" s="2522">
        <v>1372</v>
      </c>
      <c r="L40" s="2522">
        <v>1435</v>
      </c>
      <c r="M40" s="2522">
        <v>16</v>
      </c>
      <c r="N40" s="1343" t="s">
        <v>1525</v>
      </c>
      <c r="O40" s="1344">
        <v>37</v>
      </c>
    </row>
    <row r="41" spans="1:15" ht="12.75" customHeight="1">
      <c r="A41" s="1336">
        <v>1397</v>
      </c>
      <c r="B41" s="1346">
        <v>1397</v>
      </c>
      <c r="C41" s="1346">
        <v>1386</v>
      </c>
      <c r="D41" s="1346">
        <v>1435</v>
      </c>
      <c r="E41" s="1347">
        <v>164</v>
      </c>
      <c r="F41" s="1358" t="s">
        <v>1534</v>
      </c>
      <c r="G41" s="1340">
        <v>94</v>
      </c>
      <c r="H41" s="1354"/>
      <c r="I41" s="2522">
        <v>1383</v>
      </c>
      <c r="J41" s="2522">
        <v>1382</v>
      </c>
      <c r="K41" s="2522">
        <v>1379</v>
      </c>
      <c r="L41" s="2522">
        <v>1435</v>
      </c>
      <c r="M41" s="2522">
        <v>100</v>
      </c>
      <c r="N41" s="1343" t="s">
        <v>1527</v>
      </c>
      <c r="O41" s="1344">
        <v>38</v>
      </c>
    </row>
    <row r="42" spans="1:15" ht="15" customHeight="1">
      <c r="A42" s="1345">
        <v>1398</v>
      </c>
      <c r="B42" s="1346">
        <v>1398</v>
      </c>
      <c r="C42" s="1346">
        <v>1386</v>
      </c>
      <c r="D42" s="1346">
        <v>1435</v>
      </c>
      <c r="E42" s="1347">
        <v>32</v>
      </c>
      <c r="F42" s="1358" t="s">
        <v>1536</v>
      </c>
      <c r="G42" s="1340">
        <v>95</v>
      </c>
      <c r="H42" s="1359"/>
      <c r="I42" s="2522">
        <v>1384</v>
      </c>
      <c r="J42" s="2522">
        <v>1383</v>
      </c>
      <c r="K42" s="2522">
        <v>1380</v>
      </c>
      <c r="L42" s="2522">
        <v>1435</v>
      </c>
      <c r="M42" s="2522">
        <v>121</v>
      </c>
      <c r="N42" s="1343" t="s">
        <v>1529</v>
      </c>
      <c r="O42" s="1344">
        <v>39</v>
      </c>
    </row>
    <row r="43" spans="1:15" ht="14.25" customHeight="1">
      <c r="A43" s="1345">
        <v>1398</v>
      </c>
      <c r="B43" s="1346">
        <v>1398</v>
      </c>
      <c r="C43" s="1346">
        <v>1394</v>
      </c>
      <c r="D43" s="1346">
        <v>1435</v>
      </c>
      <c r="E43" s="1347">
        <v>35</v>
      </c>
      <c r="F43" s="1358" t="s">
        <v>1538</v>
      </c>
      <c r="G43" s="1340">
        <v>96</v>
      </c>
      <c r="H43" s="1359"/>
      <c r="I43" s="2522">
        <v>1384</v>
      </c>
      <c r="J43" s="2522">
        <v>1384</v>
      </c>
      <c r="K43" s="2522">
        <v>1380</v>
      </c>
      <c r="L43" s="2522">
        <v>1435</v>
      </c>
      <c r="M43" s="2522">
        <v>19</v>
      </c>
      <c r="N43" s="1343" t="s">
        <v>1531</v>
      </c>
      <c r="O43" s="1344">
        <v>40</v>
      </c>
    </row>
    <row r="44" spans="1:15" ht="14.25" customHeight="1">
      <c r="A44" s="1361">
        <v>1398</v>
      </c>
      <c r="B44" s="1362">
        <v>1398</v>
      </c>
      <c r="C44" s="1362">
        <v>1379</v>
      </c>
      <c r="D44" s="1362">
        <v>1435</v>
      </c>
      <c r="E44" s="1363">
        <v>132</v>
      </c>
      <c r="F44" s="1358" t="s">
        <v>1540</v>
      </c>
      <c r="G44" s="1340">
        <v>97</v>
      </c>
      <c r="I44" s="2522">
        <v>1383</v>
      </c>
      <c r="J44" s="2522">
        <v>1383</v>
      </c>
      <c r="K44" s="2522">
        <v>1379</v>
      </c>
      <c r="L44" s="2522">
        <v>1435</v>
      </c>
      <c r="M44" s="2522">
        <v>151</v>
      </c>
      <c r="N44" s="1343" t="s">
        <v>1533</v>
      </c>
      <c r="O44" s="1344">
        <v>41</v>
      </c>
    </row>
    <row r="45" spans="1:15" ht="14.25" customHeight="1">
      <c r="A45" s="1364">
        <v>1399</v>
      </c>
      <c r="B45" s="1365">
        <v>1399</v>
      </c>
      <c r="C45" s="1365">
        <v>1394</v>
      </c>
      <c r="D45" s="1365">
        <v>1435</v>
      </c>
      <c r="E45" s="1366">
        <v>69</v>
      </c>
      <c r="F45" s="1358" t="s">
        <v>1542</v>
      </c>
      <c r="G45" s="1340">
        <v>98</v>
      </c>
      <c r="I45" s="2522">
        <v>1384</v>
      </c>
      <c r="J45" s="2522">
        <v>1384</v>
      </c>
      <c r="K45" s="2522">
        <v>1379</v>
      </c>
      <c r="L45" s="2522">
        <v>1435</v>
      </c>
      <c r="M45" s="2522">
        <v>646</v>
      </c>
      <c r="N45" s="1343" t="s">
        <v>1535</v>
      </c>
      <c r="O45" s="1344">
        <v>42</v>
      </c>
    </row>
    <row r="46" spans="1:15" ht="14.25" customHeight="1">
      <c r="A46" s="1367">
        <v>1400</v>
      </c>
      <c r="B46" s="1368">
        <v>1400</v>
      </c>
      <c r="C46" s="1369" t="s">
        <v>95</v>
      </c>
      <c r="D46" s="1368">
        <v>1435</v>
      </c>
      <c r="E46" s="1370">
        <v>15</v>
      </c>
      <c r="F46" s="1371" t="s">
        <v>1544</v>
      </c>
      <c r="G46" s="1340">
        <v>99</v>
      </c>
      <c r="I46" s="2522">
        <v>1383</v>
      </c>
      <c r="J46" s="2522">
        <v>1383</v>
      </c>
      <c r="K46" s="2522">
        <v>1383</v>
      </c>
      <c r="L46" s="2522">
        <v>1435</v>
      </c>
      <c r="M46" s="2522">
        <v>53</v>
      </c>
      <c r="N46" s="1343" t="s">
        <v>1537</v>
      </c>
      <c r="O46" s="1344">
        <v>43</v>
      </c>
    </row>
    <row r="47" spans="1:15" ht="14.25" customHeight="1">
      <c r="A47" s="1367">
        <v>1400</v>
      </c>
      <c r="B47" s="1368">
        <v>1400</v>
      </c>
      <c r="C47" s="1368">
        <v>1395</v>
      </c>
      <c r="D47" s="1368">
        <v>1435</v>
      </c>
      <c r="E47" s="1370">
        <v>18</v>
      </c>
      <c r="F47" s="1371" t="s">
        <v>1546</v>
      </c>
      <c r="G47" s="1340">
        <v>100</v>
      </c>
      <c r="I47" s="2522">
        <v>1383</v>
      </c>
      <c r="J47" s="2522">
        <v>1383</v>
      </c>
      <c r="K47" s="2522">
        <v>1383</v>
      </c>
      <c r="L47" s="2522">
        <v>1435</v>
      </c>
      <c r="M47" s="2522">
        <v>12</v>
      </c>
      <c r="N47" s="1343" t="s">
        <v>1539</v>
      </c>
      <c r="O47" s="1344">
        <v>44</v>
      </c>
    </row>
    <row r="48" spans="1:15" ht="14.25" customHeight="1">
      <c r="A48" s="1364">
        <v>1400</v>
      </c>
      <c r="B48" s="1365">
        <v>1400</v>
      </c>
      <c r="C48" s="1365">
        <v>1394</v>
      </c>
      <c r="D48" s="1365">
        <v>1435</v>
      </c>
      <c r="E48" s="1366">
        <v>13</v>
      </c>
      <c r="F48" s="1371" t="s">
        <v>1548</v>
      </c>
      <c r="G48" s="1340">
        <v>101</v>
      </c>
      <c r="I48" s="2522">
        <v>1384</v>
      </c>
      <c r="J48" s="2522">
        <v>1384</v>
      </c>
      <c r="K48" s="2522">
        <v>1383</v>
      </c>
      <c r="L48" s="2522">
        <v>1435</v>
      </c>
      <c r="M48" s="2522">
        <v>38</v>
      </c>
      <c r="N48" s="1343" t="s">
        <v>1541</v>
      </c>
      <c r="O48" s="1344">
        <v>45</v>
      </c>
    </row>
    <row r="49" spans="1:16" ht="14.25" customHeight="1">
      <c r="A49" s="1367">
        <v>1400</v>
      </c>
      <c r="B49" s="1368">
        <v>1400</v>
      </c>
      <c r="C49" s="1368">
        <v>1394</v>
      </c>
      <c r="D49" s="1368">
        <v>1435</v>
      </c>
      <c r="E49" s="1370">
        <v>19</v>
      </c>
      <c r="F49" s="1371" t="s">
        <v>1550</v>
      </c>
      <c r="G49" s="1340">
        <v>102</v>
      </c>
      <c r="I49" s="2805">
        <v>1385</v>
      </c>
      <c r="J49" s="2805">
        <v>1385</v>
      </c>
      <c r="K49" s="2805">
        <v>1384</v>
      </c>
      <c r="L49" s="2805">
        <v>1435</v>
      </c>
      <c r="M49" s="2805">
        <v>83</v>
      </c>
      <c r="N49" s="1343" t="s">
        <v>1543</v>
      </c>
      <c r="O49" s="1344">
        <v>46</v>
      </c>
    </row>
    <row r="50" spans="1:16" ht="14.25" customHeight="1" thickBot="1">
      <c r="A50" s="1364">
        <v>1400</v>
      </c>
      <c r="B50" s="1365">
        <v>1400</v>
      </c>
      <c r="C50" s="1365">
        <v>1393</v>
      </c>
      <c r="D50" s="1365">
        <v>1435</v>
      </c>
      <c r="E50" s="1366">
        <v>15</v>
      </c>
      <c r="F50" s="1371" t="s">
        <v>1552</v>
      </c>
      <c r="G50" s="1340">
        <v>103</v>
      </c>
      <c r="I50" s="1367">
        <v>1385</v>
      </c>
      <c r="J50" s="1367">
        <v>1385</v>
      </c>
      <c r="K50" s="1367">
        <v>1379</v>
      </c>
      <c r="L50" s="1367">
        <v>1435</v>
      </c>
      <c r="M50" s="1367">
        <v>121</v>
      </c>
      <c r="N50" s="1343" t="s">
        <v>1545</v>
      </c>
      <c r="O50" s="1344">
        <v>47</v>
      </c>
      <c r="P50" s="1372"/>
    </row>
    <row r="51" spans="1:16" ht="15.75" customHeight="1">
      <c r="A51" s="1374">
        <v>1401</v>
      </c>
      <c r="B51" s="1375">
        <v>1401</v>
      </c>
      <c r="C51" s="1375">
        <v>1393</v>
      </c>
      <c r="D51" s="1375">
        <v>1435</v>
      </c>
      <c r="E51" s="1376">
        <v>35</v>
      </c>
      <c r="F51" s="1377" t="s">
        <v>1554</v>
      </c>
      <c r="G51" s="1378">
        <v>104</v>
      </c>
      <c r="I51" s="2806">
        <v>1386</v>
      </c>
      <c r="J51" s="2806">
        <v>1386</v>
      </c>
      <c r="K51" s="2806">
        <v>1385</v>
      </c>
      <c r="L51" s="2806">
        <v>1435</v>
      </c>
      <c r="M51" s="2806">
        <v>66</v>
      </c>
      <c r="N51" s="1343" t="s">
        <v>1547</v>
      </c>
      <c r="O51" s="1344">
        <v>48</v>
      </c>
    </row>
    <row r="52" spans="1:16" ht="15.75" customHeight="1">
      <c r="A52" s="1336">
        <v>1401</v>
      </c>
      <c r="B52" s="1349">
        <v>1401</v>
      </c>
      <c r="C52" s="1349">
        <v>1393</v>
      </c>
      <c r="D52" s="1349">
        <v>1435</v>
      </c>
      <c r="E52" s="1379">
        <v>31</v>
      </c>
      <c r="F52" s="1380" t="s">
        <v>1555</v>
      </c>
      <c r="G52" s="1340">
        <v>105</v>
      </c>
      <c r="I52" s="2522">
        <v>1386</v>
      </c>
      <c r="J52" s="2522">
        <v>1386</v>
      </c>
      <c r="K52" s="2522">
        <v>1379</v>
      </c>
      <c r="L52" s="2522">
        <v>1435</v>
      </c>
      <c r="M52" s="2522">
        <v>42</v>
      </c>
      <c r="N52" s="1343" t="s">
        <v>1549</v>
      </c>
      <c r="O52" s="1344">
        <v>49</v>
      </c>
    </row>
    <row r="53" spans="1:16" ht="15.75" customHeight="1">
      <c r="A53" s="1336">
        <v>1401</v>
      </c>
      <c r="B53" s="1349">
        <v>1401</v>
      </c>
      <c r="C53" s="1349">
        <v>1394</v>
      </c>
      <c r="D53" s="1349">
        <v>1435</v>
      </c>
      <c r="E53" s="1379">
        <v>26</v>
      </c>
      <c r="F53" s="1384" t="s">
        <v>1557</v>
      </c>
      <c r="G53" s="1340">
        <v>106</v>
      </c>
      <c r="I53" s="2806">
        <v>1386</v>
      </c>
      <c r="J53" s="2806">
        <v>1386</v>
      </c>
      <c r="K53" s="2806">
        <v>1379</v>
      </c>
      <c r="L53" s="2806">
        <v>1435</v>
      </c>
      <c r="M53" s="2806">
        <v>38</v>
      </c>
      <c r="N53" s="1373" t="s">
        <v>1551</v>
      </c>
      <c r="O53" s="1340">
        <v>50</v>
      </c>
    </row>
    <row r="54" spans="1:16" ht="15.75" customHeight="1">
      <c r="A54" s="1336">
        <v>1401</v>
      </c>
      <c r="B54" s="1349">
        <v>1401</v>
      </c>
      <c r="C54" s="1349">
        <v>1399</v>
      </c>
      <c r="D54" s="1349">
        <v>1435</v>
      </c>
      <c r="E54" s="1379">
        <v>19</v>
      </c>
      <c r="F54" s="1388" t="s">
        <v>1558</v>
      </c>
      <c r="G54" s="1389">
        <v>107</v>
      </c>
      <c r="I54" s="2805">
        <v>1387</v>
      </c>
      <c r="J54" s="2805">
        <v>1387</v>
      </c>
      <c r="K54" s="2805">
        <v>1384</v>
      </c>
      <c r="L54" s="2805">
        <v>1435</v>
      </c>
      <c r="M54" s="2805">
        <v>65</v>
      </c>
      <c r="N54" s="1373" t="s">
        <v>1553</v>
      </c>
      <c r="O54" s="1340">
        <v>51</v>
      </c>
    </row>
    <row r="55" spans="1:16" ht="15.75" customHeight="1">
      <c r="A55" s="1390">
        <v>1401</v>
      </c>
      <c r="B55" s="1391">
        <v>1401</v>
      </c>
      <c r="C55" s="1391">
        <v>1394</v>
      </c>
      <c r="D55" s="1391">
        <v>1435</v>
      </c>
      <c r="E55" s="1392">
        <v>18</v>
      </c>
      <c r="F55" s="1388" t="s">
        <v>1559</v>
      </c>
      <c r="G55" s="1389">
        <v>108</v>
      </c>
      <c r="I55" s="1364">
        <v>1387</v>
      </c>
      <c r="J55" s="1364">
        <v>1387</v>
      </c>
      <c r="K55" s="1364">
        <v>1384</v>
      </c>
      <c r="L55" s="1364">
        <v>1435</v>
      </c>
      <c r="M55" s="1364">
        <v>148</v>
      </c>
      <c r="N55" s="1373" t="s">
        <v>1556</v>
      </c>
      <c r="O55" s="1340">
        <v>52</v>
      </c>
    </row>
    <row r="56" spans="1:16" ht="18.75">
      <c r="A56" s="1374">
        <v>1402</v>
      </c>
      <c r="B56" s="1375">
        <v>1402</v>
      </c>
      <c r="C56" s="1375">
        <v>1402</v>
      </c>
      <c r="D56" s="1391">
        <v>1435</v>
      </c>
      <c r="E56" s="1376">
        <v>41</v>
      </c>
      <c r="F56" s="1393" t="s">
        <v>1560</v>
      </c>
      <c r="G56" s="1394">
        <v>109</v>
      </c>
      <c r="I56" s="2806">
        <v>1387</v>
      </c>
      <c r="J56" s="2806">
        <v>1387</v>
      </c>
      <c r="K56" s="2806">
        <v>1386</v>
      </c>
      <c r="L56" s="2806">
        <v>1435</v>
      </c>
      <c r="M56" s="2806">
        <v>50</v>
      </c>
      <c r="N56" s="1373" t="s">
        <v>1450</v>
      </c>
      <c r="O56" s="1340">
        <v>53</v>
      </c>
    </row>
    <row r="57" spans="1:16" ht="18.75">
      <c r="A57" s="1336">
        <v>1402</v>
      </c>
      <c r="B57" s="1349">
        <v>1402</v>
      </c>
      <c r="C57" s="1349">
        <v>1402</v>
      </c>
      <c r="D57" s="1391">
        <v>1435</v>
      </c>
      <c r="E57" s="1379">
        <v>150</v>
      </c>
      <c r="F57" s="1395" t="s">
        <v>1561</v>
      </c>
      <c r="G57" s="1396">
        <v>110</v>
      </c>
      <c r="H57" s="1385"/>
      <c r="I57" s="2522">
        <v>1387</v>
      </c>
      <c r="J57" s="2522">
        <v>1387</v>
      </c>
      <c r="K57" s="2522">
        <v>1387</v>
      </c>
      <c r="L57" s="2522">
        <v>1435</v>
      </c>
      <c r="M57" s="2522">
        <v>42</v>
      </c>
      <c r="N57" s="1373" t="s">
        <v>1452</v>
      </c>
      <c r="O57" s="1340">
        <v>54</v>
      </c>
    </row>
    <row r="58" spans="1:16" ht="18.75">
      <c r="A58" s="1336">
        <v>1402</v>
      </c>
      <c r="B58" s="1349">
        <v>1402</v>
      </c>
      <c r="C58" s="1349">
        <v>1400</v>
      </c>
      <c r="D58" s="1391">
        <v>1435</v>
      </c>
      <c r="E58" s="1379">
        <v>14</v>
      </c>
      <c r="F58" s="1395" t="s">
        <v>1562</v>
      </c>
      <c r="G58" s="1396">
        <v>111</v>
      </c>
      <c r="H58" s="1385"/>
      <c r="I58" s="2522">
        <v>1387</v>
      </c>
      <c r="J58" s="2522">
        <v>1387</v>
      </c>
      <c r="K58" s="2522">
        <v>1386</v>
      </c>
      <c r="L58" s="2522">
        <v>1435</v>
      </c>
      <c r="M58" s="2522">
        <v>22</v>
      </c>
      <c r="N58" s="1373" t="s">
        <v>1454</v>
      </c>
      <c r="O58" s="1340">
        <v>55</v>
      </c>
    </row>
    <row r="59" spans="1:16" thickBot="1">
      <c r="A59" s="1336">
        <v>1402</v>
      </c>
      <c r="B59" s="1349">
        <v>1402</v>
      </c>
      <c r="C59" s="1349">
        <v>1402</v>
      </c>
      <c r="D59" s="1391">
        <v>1435</v>
      </c>
      <c r="E59" s="1379">
        <v>15</v>
      </c>
      <c r="F59" s="1395" t="s">
        <v>1563</v>
      </c>
      <c r="G59" s="1396">
        <v>112</v>
      </c>
      <c r="H59" s="1385"/>
      <c r="I59" s="2807">
        <v>1387</v>
      </c>
      <c r="J59" s="2807">
        <v>1387</v>
      </c>
      <c r="K59" s="2807">
        <v>1386</v>
      </c>
      <c r="L59" s="2807">
        <v>1435</v>
      </c>
      <c r="M59" s="2807">
        <v>7</v>
      </c>
      <c r="N59" s="1382" t="s">
        <v>1456</v>
      </c>
      <c r="O59" s="1383">
        <v>56</v>
      </c>
    </row>
    <row r="60" spans="1:16" ht="20.25" thickBot="1">
      <c r="A60" s="1381">
        <v>1402</v>
      </c>
      <c r="B60" s="1397">
        <v>1402</v>
      </c>
      <c r="C60" s="1397">
        <v>1402</v>
      </c>
      <c r="D60" s="1397">
        <v>1435</v>
      </c>
      <c r="E60" s="1398">
        <v>155</v>
      </c>
      <c r="F60" s="1399" t="s">
        <v>1564</v>
      </c>
      <c r="G60" s="1400">
        <v>113</v>
      </c>
      <c r="H60" s="1385"/>
      <c r="I60" s="1385"/>
      <c r="J60" s="1385"/>
      <c r="N60" s="3118" t="s">
        <v>1437</v>
      </c>
      <c r="O60" s="3118"/>
    </row>
    <row r="61" spans="1:16" ht="20.25" thickBot="1">
      <c r="E61" s="1401">
        <f>SUM(M4:M55,E4:E60)</f>
        <v>12182</v>
      </c>
      <c r="F61" s="3119" t="s">
        <v>281</v>
      </c>
      <c r="G61" s="3120"/>
      <c r="H61" s="1385"/>
      <c r="I61" s="1385"/>
      <c r="J61" s="1385"/>
    </row>
    <row r="62" spans="1:16">
      <c r="H62" s="1385"/>
      <c r="I62" s="1385"/>
      <c r="J62" s="1385"/>
    </row>
    <row r="63" spans="1:16">
      <c r="H63" s="1385"/>
      <c r="I63" s="1385"/>
      <c r="J63" s="1385"/>
    </row>
    <row r="64" spans="1:16">
      <c r="H64" s="1385"/>
    </row>
  </sheetData>
  <mergeCells count="10">
    <mergeCell ref="A1:O1"/>
    <mergeCell ref="A24:D24"/>
    <mergeCell ref="A32:D32"/>
    <mergeCell ref="N60:O60"/>
    <mergeCell ref="F61:G61"/>
    <mergeCell ref="F2:F3"/>
    <mergeCell ref="G2:G3"/>
    <mergeCell ref="N2:N3"/>
    <mergeCell ref="O2:O3"/>
    <mergeCell ref="A23:D23"/>
  </mergeCells>
  <printOptions horizontalCentered="1" verticalCentered="1"/>
  <pageMargins left="0.39370078740157483" right="0.39370078740157483" top="0.39370078740157483" bottom="0.39370078740157483" header="0.39370078740157483" footer="0.51181102362204722"/>
  <pageSetup paperSize="9" scale="64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P46"/>
  <sheetViews>
    <sheetView rightToLeft="1" zoomScale="93" zoomScaleNormal="93" zoomScaleSheetLayoutView="130" workbookViewId="0">
      <selection sqref="A1:H28"/>
    </sheetView>
  </sheetViews>
  <sheetFormatPr defaultColWidth="8" defaultRowHeight="15.75"/>
  <cols>
    <col min="1" max="1" width="12.625" style="77" customWidth="1"/>
    <col min="2" max="2" width="10.375" style="77" customWidth="1"/>
    <col min="3" max="3" width="11.625" style="77" customWidth="1"/>
    <col min="4" max="7" width="10.375" style="77" customWidth="1"/>
    <col min="8" max="8" width="13" style="77" customWidth="1"/>
    <col min="9" max="11" width="8" style="77"/>
    <col min="12" max="12" width="8" style="77" customWidth="1"/>
    <col min="13" max="16384" width="8" style="77"/>
  </cols>
  <sheetData>
    <row r="1" spans="1:10" ht="25.5" customHeight="1">
      <c r="A1" s="3131" t="s">
        <v>1565</v>
      </c>
      <c r="B1" s="3131"/>
      <c r="C1" s="3131"/>
      <c r="D1" s="3131"/>
      <c r="E1" s="3131"/>
      <c r="F1" s="3131"/>
      <c r="G1" s="3131"/>
      <c r="H1" s="3131"/>
      <c r="I1" s="1402"/>
      <c r="J1" s="1402"/>
    </row>
    <row r="2" spans="1:10" ht="16.5" customHeight="1" thickBot="1">
      <c r="A2" s="3132" t="s">
        <v>1449</v>
      </c>
      <c r="B2" s="3132"/>
      <c r="C2" s="3132"/>
      <c r="D2" s="3132"/>
      <c r="E2" s="3132"/>
      <c r="F2" s="3132"/>
      <c r="G2" s="3132"/>
      <c r="H2" s="3132"/>
      <c r="I2" s="1402"/>
      <c r="J2" s="1402"/>
    </row>
    <row r="3" spans="1:10" ht="18" customHeight="1" thickBot="1">
      <c r="A3" s="2942" t="s">
        <v>830</v>
      </c>
      <c r="B3" s="3134" t="s">
        <v>1566</v>
      </c>
      <c r="C3" s="3135"/>
      <c r="D3" s="3034"/>
      <c r="E3" s="3136" t="s">
        <v>1567</v>
      </c>
      <c r="F3" s="3135"/>
      <c r="G3" s="3034"/>
      <c r="H3" s="3137" t="s">
        <v>1568</v>
      </c>
      <c r="I3" s="80"/>
      <c r="J3" s="80"/>
    </row>
    <row r="4" spans="1:10" ht="24" customHeight="1">
      <c r="A4" s="3133"/>
      <c r="B4" s="3134" t="s">
        <v>1569</v>
      </c>
      <c r="C4" s="2948" t="s">
        <v>1570</v>
      </c>
      <c r="D4" s="2942" t="s">
        <v>49</v>
      </c>
      <c r="E4" s="3142" t="s">
        <v>1571</v>
      </c>
      <c r="F4" s="3125" t="s">
        <v>978</v>
      </c>
      <c r="G4" s="3127" t="s">
        <v>423</v>
      </c>
      <c r="H4" s="3138"/>
    </row>
    <row r="5" spans="1:10" ht="27" customHeight="1" thickBot="1">
      <c r="A5" s="3023"/>
      <c r="B5" s="3140"/>
      <c r="C5" s="3141"/>
      <c r="D5" s="3023"/>
      <c r="E5" s="3143"/>
      <c r="F5" s="3126"/>
      <c r="G5" s="3128"/>
      <c r="H5" s="3139"/>
    </row>
    <row r="6" spans="1:10" ht="19.5" customHeight="1">
      <c r="A6" s="1403" t="s">
        <v>68</v>
      </c>
      <c r="B6" s="1404">
        <v>363.4</v>
      </c>
      <c r="C6" s="1404">
        <v>145.321</v>
      </c>
      <c r="D6" s="1404">
        <f t="shared" ref="D6:D27" si="0">SUM(B6:C6)</f>
        <v>508.721</v>
      </c>
      <c r="E6" s="1405">
        <v>116.934</v>
      </c>
      <c r="F6" s="1404">
        <v>125.015</v>
      </c>
      <c r="G6" s="1404">
        <f t="shared" ref="G6:G26" si="1">SUM(E6:F6)</f>
        <v>241.94900000000001</v>
      </c>
      <c r="H6" s="1404">
        <f t="shared" ref="H6:H26" si="2">SUM(G6,D6)</f>
        <v>750.67000000000007</v>
      </c>
      <c r="I6" s="81"/>
    </row>
    <row r="7" spans="1:10" ht="19.5" customHeight="1">
      <c r="A7" s="1406" t="s">
        <v>69</v>
      </c>
      <c r="B7" s="1404">
        <v>156</v>
      </c>
      <c r="C7" s="1404">
        <v>0</v>
      </c>
      <c r="D7" s="1404">
        <f t="shared" si="0"/>
        <v>156</v>
      </c>
      <c r="E7" s="1405">
        <v>5.89</v>
      </c>
      <c r="F7" s="1404">
        <v>30.02</v>
      </c>
      <c r="G7" s="1404">
        <f t="shared" si="1"/>
        <v>35.909999999999997</v>
      </c>
      <c r="H7" s="1404">
        <f t="shared" si="2"/>
        <v>191.91</v>
      </c>
      <c r="I7" s="81"/>
    </row>
    <row r="8" spans="1:10" ht="19.5" customHeight="1">
      <c r="A8" s="1406" t="s">
        <v>70</v>
      </c>
      <c r="B8" s="1404">
        <v>443.9</v>
      </c>
      <c r="C8" s="1404">
        <v>0</v>
      </c>
      <c r="D8" s="1404">
        <f t="shared" si="0"/>
        <v>443.9</v>
      </c>
      <c r="E8" s="1405">
        <v>61.8</v>
      </c>
      <c r="F8" s="1404">
        <v>84.492999999999995</v>
      </c>
      <c r="G8" s="1404">
        <f t="shared" si="1"/>
        <v>146.29300000000001</v>
      </c>
      <c r="H8" s="1404">
        <f t="shared" si="2"/>
        <v>590.19299999999998</v>
      </c>
      <c r="I8" s="81"/>
    </row>
    <row r="9" spans="1:10" ht="19.5" customHeight="1">
      <c r="A9" s="1406" t="s">
        <v>71</v>
      </c>
      <c r="B9" s="1404">
        <v>379.33600000000001</v>
      </c>
      <c r="C9" s="1404">
        <v>324.66899999999998</v>
      </c>
      <c r="D9" s="1404">
        <f t="shared" si="0"/>
        <v>704.005</v>
      </c>
      <c r="E9" s="1405">
        <v>84.53</v>
      </c>
      <c r="F9" s="1404">
        <v>158.30000000000001</v>
      </c>
      <c r="G9" s="1404">
        <f t="shared" si="1"/>
        <v>242.83</v>
      </c>
      <c r="H9" s="1404">
        <f t="shared" si="2"/>
        <v>946.83500000000004</v>
      </c>
      <c r="I9" s="81"/>
    </row>
    <row r="10" spans="1:10" ht="19.5" customHeight="1">
      <c r="A10" s="1406" t="s">
        <v>72</v>
      </c>
      <c r="B10" s="1404">
        <v>330.1</v>
      </c>
      <c r="C10" s="1404">
        <v>0</v>
      </c>
      <c r="D10" s="1404">
        <f t="shared" si="0"/>
        <v>330.1</v>
      </c>
      <c r="E10" s="1405">
        <v>27.085999999999999</v>
      </c>
      <c r="F10" s="1404">
        <v>33.204999999999998</v>
      </c>
      <c r="G10" s="1404">
        <f t="shared" si="1"/>
        <v>60.290999999999997</v>
      </c>
      <c r="H10" s="1404">
        <f t="shared" si="2"/>
        <v>390.39100000000002</v>
      </c>
      <c r="I10" s="81"/>
    </row>
    <row r="11" spans="1:10" ht="19.5" customHeight="1">
      <c r="A11" s="1406" t="s">
        <v>482</v>
      </c>
      <c r="B11" s="1404">
        <v>250.9</v>
      </c>
      <c r="C11" s="1404">
        <v>84.6</v>
      </c>
      <c r="D11" s="1404">
        <f t="shared" si="0"/>
        <v>335.5</v>
      </c>
      <c r="E11" s="1405">
        <v>29</v>
      </c>
      <c r="F11" s="1404">
        <v>40.4</v>
      </c>
      <c r="G11" s="1404">
        <f t="shared" si="1"/>
        <v>69.400000000000006</v>
      </c>
      <c r="H11" s="1404">
        <f t="shared" si="2"/>
        <v>404.9</v>
      </c>
      <c r="I11" s="81"/>
    </row>
    <row r="12" spans="1:10" ht="19.5" customHeight="1">
      <c r="A12" s="1406" t="s">
        <v>88</v>
      </c>
      <c r="B12" s="1404">
        <v>400.7</v>
      </c>
      <c r="C12" s="1404">
        <v>0</v>
      </c>
      <c r="D12" s="1404">
        <f t="shared" si="0"/>
        <v>400.7</v>
      </c>
      <c r="E12" s="1405">
        <v>0</v>
      </c>
      <c r="F12" s="1404">
        <v>34.799999999999997</v>
      </c>
      <c r="G12" s="1404">
        <f t="shared" si="1"/>
        <v>34.799999999999997</v>
      </c>
      <c r="H12" s="1404">
        <f t="shared" si="2"/>
        <v>435.5</v>
      </c>
      <c r="I12" s="81"/>
    </row>
    <row r="13" spans="1:10" ht="19.5" customHeight="1">
      <c r="A13" s="1406" t="s">
        <v>87</v>
      </c>
      <c r="B13" s="1404">
        <v>419.58299999999997</v>
      </c>
      <c r="C13" s="1404">
        <v>117.321</v>
      </c>
      <c r="D13" s="1404">
        <f t="shared" si="0"/>
        <v>536.904</v>
      </c>
      <c r="E13" s="1405">
        <v>42</v>
      </c>
      <c r="F13" s="1404">
        <v>66.2</v>
      </c>
      <c r="G13" s="1404">
        <f t="shared" si="1"/>
        <v>108.2</v>
      </c>
      <c r="H13" s="1404">
        <f t="shared" si="2"/>
        <v>645.10400000000004</v>
      </c>
      <c r="I13" s="81"/>
    </row>
    <row r="14" spans="1:10" ht="19.5" customHeight="1">
      <c r="A14" s="1406" t="s">
        <v>401</v>
      </c>
      <c r="B14" s="1404">
        <v>148.4</v>
      </c>
      <c r="C14" s="1404">
        <v>0</v>
      </c>
      <c r="D14" s="1404">
        <f t="shared" si="0"/>
        <v>148.4</v>
      </c>
      <c r="E14" s="1405">
        <v>12.6</v>
      </c>
      <c r="F14" s="1404">
        <v>24.84</v>
      </c>
      <c r="G14" s="1404">
        <f t="shared" si="1"/>
        <v>37.44</v>
      </c>
      <c r="H14" s="1404">
        <f t="shared" si="2"/>
        <v>185.84</v>
      </c>
      <c r="I14" s="81"/>
    </row>
    <row r="15" spans="1:10" ht="19.5" customHeight="1">
      <c r="A15" s="1406" t="s">
        <v>483</v>
      </c>
      <c r="B15" s="1404">
        <v>533.75</v>
      </c>
      <c r="C15" s="1404">
        <v>533.75</v>
      </c>
      <c r="D15" s="1404">
        <f t="shared" si="0"/>
        <v>1067.5</v>
      </c>
      <c r="E15" s="1405">
        <v>75.948999999999998</v>
      </c>
      <c r="F15" s="1404">
        <v>67</v>
      </c>
      <c r="G15" s="1404">
        <f t="shared" si="1"/>
        <v>142.94900000000001</v>
      </c>
      <c r="H15" s="1404">
        <f t="shared" si="2"/>
        <v>1210.4490000000001</v>
      </c>
      <c r="I15" s="81"/>
    </row>
    <row r="16" spans="1:10" ht="19.5" customHeight="1">
      <c r="A16" s="1406" t="s">
        <v>76</v>
      </c>
      <c r="B16" s="1404">
        <v>456.27300000000002</v>
      </c>
      <c r="C16" s="1404">
        <v>278.31299999999999</v>
      </c>
      <c r="D16" s="1404">
        <f t="shared" si="0"/>
        <v>734.58600000000001</v>
      </c>
      <c r="E16" s="1405">
        <v>116.012</v>
      </c>
      <c r="F16" s="1404">
        <v>241.6</v>
      </c>
      <c r="G16" s="1404">
        <f t="shared" si="1"/>
        <v>357.61199999999997</v>
      </c>
      <c r="H16" s="1404">
        <f t="shared" si="2"/>
        <v>1092.1979999999999</v>
      </c>
      <c r="I16" s="81"/>
    </row>
    <row r="17" spans="1:16" ht="19.5" customHeight="1">
      <c r="A17" s="1406" t="s">
        <v>77</v>
      </c>
      <c r="B17" s="1404">
        <v>278.96199999999999</v>
      </c>
      <c r="C17" s="1404">
        <v>0</v>
      </c>
      <c r="D17" s="1404">
        <f t="shared" si="0"/>
        <v>278.96199999999999</v>
      </c>
      <c r="E17" s="1405">
        <v>28.73</v>
      </c>
      <c r="F17" s="1404">
        <v>73.14</v>
      </c>
      <c r="G17" s="1404">
        <f t="shared" si="1"/>
        <v>101.87</v>
      </c>
      <c r="H17" s="1404">
        <f t="shared" si="2"/>
        <v>380.83199999999999</v>
      </c>
      <c r="I17" s="81"/>
    </row>
    <row r="18" spans="1:16" ht="19.5" customHeight="1">
      <c r="A18" s="1406" t="s">
        <v>78</v>
      </c>
      <c r="B18" s="1404">
        <v>991.89200000000005</v>
      </c>
      <c r="C18" s="1404">
        <v>0</v>
      </c>
      <c r="D18" s="1404">
        <f t="shared" si="0"/>
        <v>991.89200000000005</v>
      </c>
      <c r="E18" s="1405">
        <v>86</v>
      </c>
      <c r="F18" s="1404">
        <v>158</v>
      </c>
      <c r="G18" s="1404">
        <f t="shared" si="1"/>
        <v>244</v>
      </c>
      <c r="H18" s="1404">
        <f t="shared" si="2"/>
        <v>1235.8920000000001</v>
      </c>
      <c r="I18" s="81"/>
    </row>
    <row r="19" spans="1:16" ht="19.5" customHeight="1">
      <c r="A19" s="1406" t="s">
        <v>79</v>
      </c>
      <c r="B19" s="1404">
        <v>594.3649999999999</v>
      </c>
      <c r="C19" s="1404">
        <v>148.738</v>
      </c>
      <c r="D19" s="1404">
        <f t="shared" si="0"/>
        <v>743.10299999999984</v>
      </c>
      <c r="E19" s="1405">
        <v>98.85</v>
      </c>
      <c r="F19" s="1404">
        <v>267.07799999999997</v>
      </c>
      <c r="G19" s="1404">
        <f t="shared" si="1"/>
        <v>365.928</v>
      </c>
      <c r="H19" s="1404">
        <f t="shared" si="2"/>
        <v>1109.0309999999999</v>
      </c>
      <c r="I19" s="81"/>
    </row>
    <row r="20" spans="1:16" ht="19.5" customHeight="1">
      <c r="A20" s="1406" t="s">
        <v>86</v>
      </c>
      <c r="B20" s="1404">
        <v>189.14</v>
      </c>
      <c r="C20" s="1404">
        <v>45.881999999999998</v>
      </c>
      <c r="D20" s="1404">
        <f t="shared" si="0"/>
        <v>235.02199999999999</v>
      </c>
      <c r="E20" s="1405">
        <v>14.956</v>
      </c>
      <c r="F20" s="1404">
        <v>47.222999999999999</v>
      </c>
      <c r="G20" s="1404">
        <f t="shared" si="1"/>
        <v>62.179000000000002</v>
      </c>
      <c r="H20" s="1404">
        <f t="shared" si="2"/>
        <v>297.20100000000002</v>
      </c>
      <c r="I20" s="81"/>
    </row>
    <row r="21" spans="1:16" ht="19.5" customHeight="1">
      <c r="A21" s="1406" t="s">
        <v>402</v>
      </c>
      <c r="B21" s="1404">
        <v>859.47400000000005</v>
      </c>
      <c r="C21" s="1404">
        <v>200.393</v>
      </c>
      <c r="D21" s="1404">
        <f t="shared" si="0"/>
        <v>1059.867</v>
      </c>
      <c r="E21" s="1405">
        <v>65.7</v>
      </c>
      <c r="F21" s="1404">
        <v>154.5</v>
      </c>
      <c r="G21" s="1404">
        <f t="shared" si="1"/>
        <v>220.2</v>
      </c>
      <c r="H21" s="1404">
        <f t="shared" si="2"/>
        <v>1280.067</v>
      </c>
      <c r="I21" s="81"/>
    </row>
    <row r="22" spans="1:16" ht="19.5" customHeight="1">
      <c r="A22" s="1406" t="s">
        <v>84</v>
      </c>
      <c r="B22" s="1404">
        <v>881.04699999999991</v>
      </c>
      <c r="C22" s="1404">
        <v>0</v>
      </c>
      <c r="D22" s="1404">
        <f t="shared" si="0"/>
        <v>881.04699999999991</v>
      </c>
      <c r="E22" s="1405">
        <v>60.314</v>
      </c>
      <c r="F22" s="1404">
        <v>133.36099999999999</v>
      </c>
      <c r="G22" s="1404">
        <f t="shared" si="1"/>
        <v>193.67499999999998</v>
      </c>
      <c r="H22" s="1404">
        <f t="shared" si="2"/>
        <v>1074.722</v>
      </c>
      <c r="I22" s="81"/>
    </row>
    <row r="23" spans="1:16" ht="19.5" customHeight="1">
      <c r="A23" s="1406" t="s">
        <v>82</v>
      </c>
      <c r="B23" s="1404">
        <v>483.93100000000004</v>
      </c>
      <c r="C23" s="1404">
        <v>0</v>
      </c>
      <c r="D23" s="1404">
        <f t="shared" si="0"/>
        <v>483.93100000000004</v>
      </c>
      <c r="E23" s="1405">
        <v>4.5</v>
      </c>
      <c r="F23" s="1404">
        <v>71.599999999999994</v>
      </c>
      <c r="G23" s="1404">
        <f t="shared" si="1"/>
        <v>76.099999999999994</v>
      </c>
      <c r="H23" s="1404">
        <f t="shared" si="2"/>
        <v>560.03100000000006</v>
      </c>
      <c r="I23" s="81"/>
      <c r="K23" s="81"/>
      <c r="L23" s="81"/>
      <c r="M23" s="81"/>
      <c r="P23" s="81"/>
    </row>
    <row r="24" spans="1:16" ht="19.5" customHeight="1">
      <c r="A24" s="1406" t="s">
        <v>81</v>
      </c>
      <c r="B24" s="1404">
        <v>549.16599999999994</v>
      </c>
      <c r="C24" s="1404">
        <v>0</v>
      </c>
      <c r="D24" s="1404">
        <f t="shared" si="0"/>
        <v>549.16599999999994</v>
      </c>
      <c r="E24" s="1405">
        <v>93.1</v>
      </c>
      <c r="F24" s="1404">
        <v>87.9</v>
      </c>
      <c r="G24" s="1404">
        <f t="shared" si="1"/>
        <v>181</v>
      </c>
      <c r="H24" s="1404">
        <f t="shared" si="2"/>
        <v>730.16599999999994</v>
      </c>
      <c r="I24" s="81"/>
    </row>
    <row r="25" spans="1:16" ht="19.5" customHeight="1">
      <c r="A25" s="1407" t="s">
        <v>85</v>
      </c>
      <c r="B25" s="1404">
        <v>486.87400000000002</v>
      </c>
      <c r="C25" s="1404">
        <v>0</v>
      </c>
      <c r="D25" s="1404">
        <f t="shared" si="0"/>
        <v>486.87400000000002</v>
      </c>
      <c r="E25" s="1405">
        <v>4.4009999999999998</v>
      </c>
      <c r="F25" s="1404">
        <v>88.459000000000003</v>
      </c>
      <c r="G25" s="1404">
        <f t="shared" si="1"/>
        <v>92.86</v>
      </c>
      <c r="H25" s="1404">
        <f t="shared" si="2"/>
        <v>579.73400000000004</v>
      </c>
      <c r="I25" s="81"/>
    </row>
    <row r="26" spans="1:16" ht="19.5" customHeight="1" thickBot="1">
      <c r="A26" s="1407" t="s">
        <v>83</v>
      </c>
      <c r="B26" s="1404">
        <v>620.27700000000004</v>
      </c>
      <c r="C26" s="1404">
        <v>606.70799999999997</v>
      </c>
      <c r="D26" s="1404">
        <f t="shared" si="0"/>
        <v>1226.9850000000001</v>
      </c>
      <c r="E26" s="1405">
        <v>250.983</v>
      </c>
      <c r="F26" s="1404">
        <v>184.1</v>
      </c>
      <c r="G26" s="1404">
        <f t="shared" si="1"/>
        <v>435.08299999999997</v>
      </c>
      <c r="H26" s="1408">
        <f t="shared" si="2"/>
        <v>1662.0680000000002</v>
      </c>
      <c r="I26" s="81"/>
    </row>
    <row r="27" spans="1:16" ht="19.5" customHeight="1" thickBot="1">
      <c r="A27" s="184" t="s">
        <v>387</v>
      </c>
      <c r="B27" s="1409">
        <f>SUM(B6:B26)</f>
        <v>9817.4699999999993</v>
      </c>
      <c r="C27" s="1409">
        <f>SUM(C6:C26)</f>
        <v>2485.6950000000002</v>
      </c>
      <c r="D27" s="1410">
        <f t="shared" si="0"/>
        <v>12303.164999999999</v>
      </c>
      <c r="E27" s="1409">
        <f>SUM(E6:E26)</f>
        <v>1279.335</v>
      </c>
      <c r="F27" s="1411">
        <f>SUM(F6:F26)</f>
        <v>2171.2339999999999</v>
      </c>
      <c r="G27" s="1410">
        <f>SUM(G6:G26)</f>
        <v>3450.569</v>
      </c>
      <c r="H27" s="1412">
        <f>SUM(H6:H26)</f>
        <v>15753.734000000004</v>
      </c>
      <c r="I27" s="81"/>
      <c r="K27" s="81"/>
    </row>
    <row r="28" spans="1:16" ht="13.5" customHeight="1">
      <c r="A28" s="3129" t="s">
        <v>917</v>
      </c>
      <c r="B28" s="3130"/>
      <c r="C28" s="3130"/>
      <c r="D28" s="3130"/>
      <c r="E28" s="3130"/>
      <c r="F28" s="3130"/>
      <c r="G28" s="3130"/>
      <c r="H28" s="3130"/>
      <c r="I28" s="1413"/>
      <c r="J28" s="1413"/>
      <c r="K28" s="81"/>
    </row>
    <row r="29" spans="1:16" ht="22.5" customHeight="1">
      <c r="A29" s="1413"/>
      <c r="B29" s="1413"/>
    </row>
    <row r="30" spans="1:16" ht="21.75" customHeight="1">
      <c r="A30" s="1413"/>
      <c r="B30" s="1413"/>
    </row>
    <row r="31" spans="1:16" ht="31.5" customHeight="1">
      <c r="A31" s="1414"/>
      <c r="B31" s="1414"/>
      <c r="C31" s="378"/>
      <c r="D31" s="378"/>
    </row>
    <row r="32" spans="1:16" ht="16.5" customHeight="1">
      <c r="A32" s="1413"/>
      <c r="B32" s="1413"/>
    </row>
    <row r="33" spans="1:2" ht="16.5" customHeight="1">
      <c r="A33" s="1413"/>
      <c r="B33" s="1413"/>
    </row>
    <row r="34" spans="1:2" ht="16.5" customHeight="1">
      <c r="A34" s="1413"/>
      <c r="B34" s="1413"/>
    </row>
    <row r="35" spans="1:2" ht="16.5" customHeight="1"/>
    <row r="36" spans="1:2" ht="16.5" customHeight="1"/>
    <row r="37" spans="1:2" ht="16.5" customHeight="1"/>
    <row r="38" spans="1:2" ht="16.5" customHeight="1"/>
    <row r="41" spans="1:2" ht="13.5" customHeight="1"/>
    <row r="46" spans="1:2" ht="63.75" customHeight="1"/>
  </sheetData>
  <mergeCells count="13">
    <mergeCell ref="F4:F5"/>
    <mergeCell ref="G4:G5"/>
    <mergeCell ref="A28:H28"/>
    <mergeCell ref="A1:H1"/>
    <mergeCell ref="A2:H2"/>
    <mergeCell ref="A3:A5"/>
    <mergeCell ref="B3:D3"/>
    <mergeCell ref="E3:G3"/>
    <mergeCell ref="H3:H5"/>
    <mergeCell ref="B4:B5"/>
    <mergeCell ref="C4:C5"/>
    <mergeCell ref="D4:D5"/>
    <mergeCell ref="E4:E5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80" firstPageNumber="7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</sheetPr>
  <dimension ref="A1:N51"/>
  <sheetViews>
    <sheetView rightToLeft="1" zoomScale="82" zoomScaleNormal="82" zoomScaleSheetLayoutView="130" workbookViewId="0">
      <selection activeCell="A26" sqref="A1:H26"/>
    </sheetView>
  </sheetViews>
  <sheetFormatPr defaultColWidth="9" defaultRowHeight="15.75"/>
  <cols>
    <col min="1" max="1" width="17.625" style="378" customWidth="1"/>
    <col min="2" max="7" width="11.625" style="378" customWidth="1"/>
    <col min="8" max="8" width="9.75" style="378" customWidth="1"/>
    <col min="9" max="9" width="6" style="378" bestFit="1" customWidth="1"/>
    <col min="10" max="10" width="7.25" style="378" bestFit="1" customWidth="1"/>
    <col min="11" max="16384" width="9" style="378"/>
  </cols>
  <sheetData>
    <row r="1" spans="1:14" ht="26.25" customHeight="1" thickBot="1">
      <c r="A1" s="3022" t="s">
        <v>672</v>
      </c>
      <c r="B1" s="3022"/>
      <c r="C1" s="3022"/>
      <c r="D1" s="3022"/>
      <c r="E1" s="3022"/>
      <c r="F1" s="3022"/>
      <c r="G1" s="3022"/>
      <c r="H1" s="3022"/>
    </row>
    <row r="2" spans="1:14" ht="30" customHeight="1" thickBot="1">
      <c r="A2" s="379" t="s">
        <v>673</v>
      </c>
      <c r="B2" s="380" t="s">
        <v>674</v>
      </c>
      <c r="C2" s="381" t="s">
        <v>675</v>
      </c>
      <c r="D2" s="381" t="s">
        <v>676</v>
      </c>
      <c r="E2" s="381" t="s">
        <v>677</v>
      </c>
      <c r="F2" s="382" t="s">
        <v>678</v>
      </c>
      <c r="G2" s="383" t="s">
        <v>679</v>
      </c>
      <c r="H2" s="384" t="s">
        <v>387</v>
      </c>
    </row>
    <row r="3" spans="1:14" ht="16.5" customHeight="1">
      <c r="A3" s="385" t="s">
        <v>402</v>
      </c>
      <c r="B3" s="386">
        <v>1</v>
      </c>
      <c r="C3" s="387">
        <v>4</v>
      </c>
      <c r="D3" s="387">
        <v>2</v>
      </c>
      <c r="E3" s="388">
        <v>34</v>
      </c>
      <c r="F3" s="386">
        <v>14</v>
      </c>
      <c r="G3" s="388">
        <v>41</v>
      </c>
      <c r="H3" s="389">
        <f t="shared" ref="H3:H23" si="0">SUM(F3:G3)</f>
        <v>55</v>
      </c>
      <c r="J3" s="390">
        <f t="shared" ref="J3:J23" si="1">SUM(B3:E3)</f>
        <v>41</v>
      </c>
      <c r="K3" s="390">
        <f t="shared" ref="K3:K23" si="2">+J3-G3</f>
        <v>0</v>
      </c>
      <c r="L3" s="390"/>
      <c r="M3" s="390"/>
      <c r="N3" s="390"/>
    </row>
    <row r="4" spans="1:14" ht="16.5" customHeight="1">
      <c r="A4" s="391" t="s">
        <v>78</v>
      </c>
      <c r="B4" s="392">
        <v>2</v>
      </c>
      <c r="C4" s="393">
        <v>3</v>
      </c>
      <c r="D4" s="393">
        <v>11</v>
      </c>
      <c r="E4" s="394">
        <v>23</v>
      </c>
      <c r="F4" s="392">
        <v>12</v>
      </c>
      <c r="G4" s="394">
        <v>39</v>
      </c>
      <c r="H4" s="395">
        <f t="shared" si="0"/>
        <v>51</v>
      </c>
      <c r="J4" s="390">
        <f t="shared" si="1"/>
        <v>39</v>
      </c>
      <c r="K4" s="390">
        <f t="shared" si="2"/>
        <v>0</v>
      </c>
      <c r="L4" s="390"/>
      <c r="M4" s="390"/>
      <c r="N4" s="390"/>
    </row>
    <row r="5" spans="1:14" ht="16.5" customHeight="1">
      <c r="A5" s="391" t="s">
        <v>83</v>
      </c>
      <c r="B5" s="392">
        <v>3</v>
      </c>
      <c r="C5" s="393">
        <v>3</v>
      </c>
      <c r="D5" s="393">
        <v>6</v>
      </c>
      <c r="E5" s="394">
        <v>11</v>
      </c>
      <c r="F5" s="392">
        <v>16</v>
      </c>
      <c r="G5" s="394">
        <v>23</v>
      </c>
      <c r="H5" s="395">
        <f t="shared" si="0"/>
        <v>39</v>
      </c>
      <c r="J5" s="390">
        <f t="shared" si="1"/>
        <v>23</v>
      </c>
      <c r="K5" s="390">
        <f t="shared" si="2"/>
        <v>0</v>
      </c>
      <c r="L5" s="390"/>
      <c r="M5" s="390"/>
      <c r="N5" s="390"/>
    </row>
    <row r="6" spans="1:14" ht="16.5" customHeight="1">
      <c r="A6" s="391" t="s">
        <v>84</v>
      </c>
      <c r="B6" s="392">
        <v>1</v>
      </c>
      <c r="C6" s="393">
        <v>2</v>
      </c>
      <c r="D6" s="393">
        <v>1</v>
      </c>
      <c r="E6" s="394">
        <v>31</v>
      </c>
      <c r="F6" s="392">
        <v>3</v>
      </c>
      <c r="G6" s="394">
        <v>35</v>
      </c>
      <c r="H6" s="395">
        <f t="shared" si="0"/>
        <v>38</v>
      </c>
      <c r="J6" s="390">
        <f t="shared" si="1"/>
        <v>35</v>
      </c>
      <c r="K6" s="390">
        <f t="shared" si="2"/>
        <v>0</v>
      </c>
      <c r="L6" s="390"/>
      <c r="M6" s="390"/>
      <c r="N6" s="390"/>
    </row>
    <row r="7" spans="1:14" ht="16.5" customHeight="1">
      <c r="A7" s="391" t="s">
        <v>79</v>
      </c>
      <c r="B7" s="392">
        <v>1</v>
      </c>
      <c r="C7" s="393">
        <v>4</v>
      </c>
      <c r="D7" s="393">
        <v>4</v>
      </c>
      <c r="E7" s="394">
        <v>24</v>
      </c>
      <c r="F7" s="392">
        <v>3</v>
      </c>
      <c r="G7" s="394">
        <v>33</v>
      </c>
      <c r="H7" s="395">
        <f t="shared" si="0"/>
        <v>36</v>
      </c>
      <c r="J7" s="390">
        <f t="shared" si="1"/>
        <v>33</v>
      </c>
      <c r="K7" s="390">
        <f t="shared" si="2"/>
        <v>0</v>
      </c>
      <c r="L7" s="390"/>
      <c r="M7" s="390"/>
      <c r="N7" s="390"/>
    </row>
    <row r="8" spans="1:14" ht="16.5" customHeight="1">
      <c r="A8" s="391" t="s">
        <v>81</v>
      </c>
      <c r="B8" s="392">
        <v>0</v>
      </c>
      <c r="C8" s="393">
        <v>3</v>
      </c>
      <c r="D8" s="393">
        <v>4</v>
      </c>
      <c r="E8" s="394">
        <v>9</v>
      </c>
      <c r="F8" s="392">
        <v>12</v>
      </c>
      <c r="G8" s="394">
        <v>16</v>
      </c>
      <c r="H8" s="395">
        <f t="shared" si="0"/>
        <v>28</v>
      </c>
      <c r="J8" s="390">
        <f t="shared" si="1"/>
        <v>16</v>
      </c>
      <c r="K8" s="390">
        <f t="shared" si="2"/>
        <v>0</v>
      </c>
      <c r="L8" s="390"/>
      <c r="M8" s="390"/>
      <c r="N8" s="390"/>
    </row>
    <row r="9" spans="1:14" ht="16.5" customHeight="1">
      <c r="A9" s="391" t="s">
        <v>483</v>
      </c>
      <c r="B9" s="392">
        <v>0</v>
      </c>
      <c r="C9" s="393">
        <v>2</v>
      </c>
      <c r="D9" s="393">
        <v>4</v>
      </c>
      <c r="E9" s="394">
        <v>21</v>
      </c>
      <c r="F9" s="392">
        <v>0</v>
      </c>
      <c r="G9" s="394">
        <v>27</v>
      </c>
      <c r="H9" s="395">
        <f t="shared" si="0"/>
        <v>27</v>
      </c>
      <c r="J9" s="390">
        <f t="shared" si="1"/>
        <v>27</v>
      </c>
      <c r="K9" s="390">
        <f t="shared" si="2"/>
        <v>0</v>
      </c>
      <c r="L9" s="390"/>
      <c r="M9" s="390"/>
      <c r="N9" s="390"/>
    </row>
    <row r="10" spans="1:14" ht="16.5" customHeight="1">
      <c r="A10" s="396" t="s">
        <v>82</v>
      </c>
      <c r="B10" s="392">
        <v>0</v>
      </c>
      <c r="C10" s="393">
        <v>4</v>
      </c>
      <c r="D10" s="393">
        <v>0</v>
      </c>
      <c r="E10" s="394">
        <v>5</v>
      </c>
      <c r="F10" s="392">
        <v>18</v>
      </c>
      <c r="G10" s="394">
        <v>9</v>
      </c>
      <c r="H10" s="395">
        <f t="shared" si="0"/>
        <v>27</v>
      </c>
      <c r="J10" s="390">
        <f t="shared" si="1"/>
        <v>9</v>
      </c>
      <c r="K10" s="390">
        <f t="shared" si="2"/>
        <v>0</v>
      </c>
      <c r="L10" s="390"/>
      <c r="M10" s="390"/>
      <c r="N10" s="390"/>
    </row>
    <row r="11" spans="1:14" ht="16.5" customHeight="1">
      <c r="A11" s="391" t="s">
        <v>85</v>
      </c>
      <c r="B11" s="392">
        <v>0</v>
      </c>
      <c r="C11" s="393">
        <v>3</v>
      </c>
      <c r="D11" s="393">
        <v>3</v>
      </c>
      <c r="E11" s="394">
        <v>8</v>
      </c>
      <c r="F11" s="392">
        <v>11</v>
      </c>
      <c r="G11" s="394">
        <v>14</v>
      </c>
      <c r="H11" s="395">
        <f t="shared" si="0"/>
        <v>25</v>
      </c>
      <c r="J11" s="390">
        <f t="shared" si="1"/>
        <v>14</v>
      </c>
      <c r="K11" s="390">
        <f t="shared" si="2"/>
        <v>0</v>
      </c>
      <c r="L11" s="390"/>
      <c r="M11" s="390"/>
      <c r="N11" s="390"/>
    </row>
    <row r="12" spans="1:14" ht="16.5" customHeight="1">
      <c r="A12" s="391" t="s">
        <v>68</v>
      </c>
      <c r="B12" s="392">
        <v>3</v>
      </c>
      <c r="C12" s="393">
        <v>2</v>
      </c>
      <c r="D12" s="393">
        <v>3</v>
      </c>
      <c r="E12" s="394">
        <v>9</v>
      </c>
      <c r="F12" s="392">
        <v>6</v>
      </c>
      <c r="G12" s="394">
        <v>17</v>
      </c>
      <c r="H12" s="395">
        <f t="shared" si="0"/>
        <v>23</v>
      </c>
      <c r="J12" s="390">
        <f t="shared" si="1"/>
        <v>17</v>
      </c>
      <c r="K12" s="390">
        <f t="shared" si="2"/>
        <v>0</v>
      </c>
      <c r="L12" s="390"/>
      <c r="M12" s="390"/>
      <c r="N12" s="390"/>
    </row>
    <row r="13" spans="1:14" ht="16.5" customHeight="1">
      <c r="A13" s="391" t="s">
        <v>72</v>
      </c>
      <c r="B13" s="392">
        <v>0</v>
      </c>
      <c r="C13" s="393">
        <v>5</v>
      </c>
      <c r="D13" s="393">
        <v>9</v>
      </c>
      <c r="E13" s="394">
        <v>8</v>
      </c>
      <c r="F13" s="392">
        <v>1</v>
      </c>
      <c r="G13" s="394">
        <v>22</v>
      </c>
      <c r="H13" s="395">
        <f t="shared" si="0"/>
        <v>23</v>
      </c>
      <c r="J13" s="390">
        <f t="shared" si="1"/>
        <v>22</v>
      </c>
      <c r="K13" s="390">
        <f t="shared" si="2"/>
        <v>0</v>
      </c>
      <c r="L13" s="390"/>
      <c r="M13" s="390"/>
      <c r="N13" s="390"/>
    </row>
    <row r="14" spans="1:14" ht="16.5" customHeight="1">
      <c r="A14" s="391" t="s">
        <v>76</v>
      </c>
      <c r="B14" s="392">
        <v>2</v>
      </c>
      <c r="C14" s="393">
        <v>4</v>
      </c>
      <c r="D14" s="393">
        <v>5</v>
      </c>
      <c r="E14" s="394">
        <v>12</v>
      </c>
      <c r="F14" s="392">
        <v>0</v>
      </c>
      <c r="G14" s="394">
        <v>23</v>
      </c>
      <c r="H14" s="395">
        <f t="shared" si="0"/>
        <v>23</v>
      </c>
      <c r="J14" s="390">
        <f t="shared" si="1"/>
        <v>23</v>
      </c>
      <c r="K14" s="390">
        <f t="shared" si="2"/>
        <v>0</v>
      </c>
      <c r="L14" s="390"/>
      <c r="M14" s="390"/>
      <c r="N14" s="390"/>
    </row>
    <row r="15" spans="1:14" ht="16.5" customHeight="1">
      <c r="A15" s="391" t="s">
        <v>71</v>
      </c>
      <c r="B15" s="392">
        <v>2</v>
      </c>
      <c r="C15" s="393">
        <v>5</v>
      </c>
      <c r="D15" s="393">
        <v>6</v>
      </c>
      <c r="E15" s="394">
        <v>9</v>
      </c>
      <c r="F15" s="392">
        <v>0</v>
      </c>
      <c r="G15" s="394">
        <v>22</v>
      </c>
      <c r="H15" s="395">
        <f t="shared" si="0"/>
        <v>22</v>
      </c>
      <c r="J15" s="390">
        <f t="shared" si="1"/>
        <v>22</v>
      </c>
      <c r="K15" s="390">
        <f t="shared" si="2"/>
        <v>0</v>
      </c>
      <c r="L15" s="390"/>
      <c r="M15" s="390"/>
      <c r="N15" s="390"/>
    </row>
    <row r="16" spans="1:14" ht="16.5" customHeight="1">
      <c r="A16" s="391" t="s">
        <v>77</v>
      </c>
      <c r="B16" s="392">
        <v>1</v>
      </c>
      <c r="C16" s="393">
        <v>1</v>
      </c>
      <c r="D16" s="393">
        <v>2</v>
      </c>
      <c r="E16" s="394">
        <v>16</v>
      </c>
      <c r="F16" s="392">
        <v>2</v>
      </c>
      <c r="G16" s="394">
        <v>20</v>
      </c>
      <c r="H16" s="397">
        <f t="shared" si="0"/>
        <v>22</v>
      </c>
      <c r="J16" s="390">
        <f t="shared" si="1"/>
        <v>20</v>
      </c>
      <c r="K16" s="390">
        <f t="shared" si="2"/>
        <v>0</v>
      </c>
      <c r="L16" s="390"/>
      <c r="M16" s="390"/>
      <c r="N16" s="390"/>
    </row>
    <row r="17" spans="1:14" ht="16.5" customHeight="1">
      <c r="A17" s="391" t="s">
        <v>70</v>
      </c>
      <c r="B17" s="392">
        <v>1</v>
      </c>
      <c r="C17" s="393">
        <v>2</v>
      </c>
      <c r="D17" s="393">
        <v>1</v>
      </c>
      <c r="E17" s="394">
        <v>10</v>
      </c>
      <c r="F17" s="392">
        <v>7</v>
      </c>
      <c r="G17" s="394">
        <v>14</v>
      </c>
      <c r="H17" s="395">
        <f t="shared" si="0"/>
        <v>21</v>
      </c>
      <c r="J17" s="390">
        <f t="shared" si="1"/>
        <v>14</v>
      </c>
      <c r="K17" s="390">
        <f t="shared" si="2"/>
        <v>0</v>
      </c>
      <c r="L17" s="390"/>
      <c r="M17" s="390"/>
      <c r="N17" s="390"/>
    </row>
    <row r="18" spans="1:14" ht="16.5" customHeight="1">
      <c r="A18" s="391" t="s">
        <v>87</v>
      </c>
      <c r="B18" s="392">
        <v>2</v>
      </c>
      <c r="C18" s="393">
        <v>1</v>
      </c>
      <c r="D18" s="393">
        <v>2</v>
      </c>
      <c r="E18" s="394">
        <v>12</v>
      </c>
      <c r="F18" s="392">
        <v>1</v>
      </c>
      <c r="G18" s="394">
        <v>17</v>
      </c>
      <c r="H18" s="395">
        <f t="shared" si="0"/>
        <v>18</v>
      </c>
      <c r="J18" s="390">
        <f t="shared" si="1"/>
        <v>17</v>
      </c>
      <c r="K18" s="390">
        <f t="shared" si="2"/>
        <v>0</v>
      </c>
      <c r="L18" s="390"/>
      <c r="M18" s="390"/>
      <c r="N18" s="390"/>
    </row>
    <row r="19" spans="1:14" ht="16.5" customHeight="1">
      <c r="A19" s="391" t="s">
        <v>482</v>
      </c>
      <c r="B19" s="392">
        <v>0</v>
      </c>
      <c r="C19" s="393">
        <v>2</v>
      </c>
      <c r="D19" s="393">
        <v>3</v>
      </c>
      <c r="E19" s="394">
        <v>5</v>
      </c>
      <c r="F19" s="392">
        <v>3</v>
      </c>
      <c r="G19" s="394">
        <v>10</v>
      </c>
      <c r="H19" s="395">
        <f t="shared" si="0"/>
        <v>13</v>
      </c>
      <c r="J19" s="390">
        <f t="shared" si="1"/>
        <v>10</v>
      </c>
      <c r="K19" s="390">
        <f t="shared" si="2"/>
        <v>0</v>
      </c>
      <c r="L19" s="390"/>
      <c r="M19" s="390"/>
      <c r="N19" s="390"/>
    </row>
    <row r="20" spans="1:14" ht="16.5" customHeight="1">
      <c r="A20" s="391" t="s">
        <v>86</v>
      </c>
      <c r="B20" s="392">
        <v>1</v>
      </c>
      <c r="C20" s="393">
        <v>0</v>
      </c>
      <c r="D20" s="393">
        <v>3</v>
      </c>
      <c r="E20" s="394">
        <v>7</v>
      </c>
      <c r="F20" s="392">
        <v>1</v>
      </c>
      <c r="G20" s="394">
        <v>11</v>
      </c>
      <c r="H20" s="395">
        <f t="shared" si="0"/>
        <v>12</v>
      </c>
      <c r="J20" s="390">
        <f t="shared" si="1"/>
        <v>11</v>
      </c>
      <c r="K20" s="390">
        <f t="shared" si="2"/>
        <v>0</v>
      </c>
      <c r="L20" s="390"/>
      <c r="M20" s="390"/>
      <c r="N20" s="390"/>
    </row>
    <row r="21" spans="1:14" ht="16.5" customHeight="1">
      <c r="A21" s="391" t="s">
        <v>69</v>
      </c>
      <c r="B21" s="392">
        <v>1</v>
      </c>
      <c r="C21" s="393">
        <v>1</v>
      </c>
      <c r="D21" s="393">
        <v>3</v>
      </c>
      <c r="E21" s="394">
        <v>6</v>
      </c>
      <c r="F21" s="392">
        <v>0</v>
      </c>
      <c r="G21" s="394">
        <v>11</v>
      </c>
      <c r="H21" s="395">
        <f t="shared" si="0"/>
        <v>11</v>
      </c>
      <c r="J21" s="390">
        <f t="shared" si="1"/>
        <v>11</v>
      </c>
      <c r="K21" s="390">
        <f t="shared" si="2"/>
        <v>0</v>
      </c>
      <c r="L21" s="390"/>
      <c r="M21" s="390"/>
      <c r="N21" s="390"/>
    </row>
    <row r="22" spans="1:14" ht="16.5" customHeight="1">
      <c r="A22" s="391" t="s">
        <v>88</v>
      </c>
      <c r="B22" s="392">
        <v>0</v>
      </c>
      <c r="C22" s="393">
        <v>1</v>
      </c>
      <c r="D22" s="393">
        <v>0</v>
      </c>
      <c r="E22" s="394">
        <v>5</v>
      </c>
      <c r="F22" s="392">
        <v>5</v>
      </c>
      <c r="G22" s="394">
        <v>6</v>
      </c>
      <c r="H22" s="395">
        <f t="shared" si="0"/>
        <v>11</v>
      </c>
      <c r="J22" s="390">
        <f t="shared" si="1"/>
        <v>6</v>
      </c>
      <c r="K22" s="390">
        <f t="shared" si="2"/>
        <v>0</v>
      </c>
      <c r="L22" s="390"/>
      <c r="M22" s="390"/>
      <c r="N22" s="390"/>
    </row>
    <row r="23" spans="1:14" ht="16.5" customHeight="1" thickBot="1">
      <c r="A23" s="391" t="s">
        <v>401</v>
      </c>
      <c r="B23" s="398">
        <v>0</v>
      </c>
      <c r="C23" s="399">
        <v>3</v>
      </c>
      <c r="D23" s="399">
        <v>0</v>
      </c>
      <c r="E23" s="400">
        <v>5</v>
      </c>
      <c r="F23" s="398">
        <v>0</v>
      </c>
      <c r="G23" s="400">
        <v>8</v>
      </c>
      <c r="H23" s="401">
        <f t="shared" si="0"/>
        <v>8</v>
      </c>
      <c r="J23" s="390">
        <f t="shared" si="1"/>
        <v>8</v>
      </c>
      <c r="K23" s="390">
        <f t="shared" si="2"/>
        <v>0</v>
      </c>
      <c r="L23" s="390"/>
      <c r="M23" s="390"/>
      <c r="N23" s="390"/>
    </row>
    <row r="24" spans="1:14" ht="26.25" customHeight="1" thickBot="1">
      <c r="A24" s="184" t="s">
        <v>387</v>
      </c>
      <c r="B24" s="402">
        <f t="shared" ref="B24:H24" si="3">SUM(B3:B23)</f>
        <v>21</v>
      </c>
      <c r="C24" s="403">
        <f t="shared" si="3"/>
        <v>55</v>
      </c>
      <c r="D24" s="403">
        <f t="shared" si="3"/>
        <v>72</v>
      </c>
      <c r="E24" s="404">
        <f t="shared" si="3"/>
        <v>270</v>
      </c>
      <c r="F24" s="402">
        <f t="shared" si="3"/>
        <v>115</v>
      </c>
      <c r="G24" s="405">
        <f t="shared" si="3"/>
        <v>418</v>
      </c>
      <c r="H24" s="406">
        <f t="shared" si="3"/>
        <v>533</v>
      </c>
      <c r="J24" s="390"/>
      <c r="K24" s="390"/>
      <c r="L24" s="390"/>
      <c r="M24" s="390"/>
      <c r="N24" s="390"/>
    </row>
    <row r="25" spans="1:14" ht="15.75" customHeight="1">
      <c r="A25" s="3026" t="s">
        <v>680</v>
      </c>
      <c r="B25" s="3144"/>
      <c r="C25" s="407"/>
      <c r="D25" s="407"/>
      <c r="E25" s="407"/>
      <c r="F25" s="407"/>
      <c r="G25" s="407"/>
      <c r="H25" s="407"/>
      <c r="J25" s="390"/>
      <c r="K25" s="390"/>
      <c r="L25" s="390"/>
      <c r="M25" s="390"/>
      <c r="N25" s="390"/>
    </row>
    <row r="26" spans="1:14" ht="15.75" customHeight="1">
      <c r="A26" s="3145" t="s">
        <v>681</v>
      </c>
      <c r="B26" s="3146"/>
      <c r="C26" s="3146"/>
      <c r="D26" s="3146"/>
      <c r="E26" s="3146"/>
      <c r="F26" s="3146"/>
      <c r="G26" s="3146"/>
      <c r="H26" s="3146"/>
      <c r="N26" s="390"/>
    </row>
    <row r="27" spans="1:14" ht="5.25" customHeight="1">
      <c r="A27" s="408"/>
      <c r="B27" s="409"/>
      <c r="C27" s="409"/>
      <c r="D27" s="409"/>
      <c r="E27" s="409"/>
      <c r="F27" s="409"/>
      <c r="G27" s="409"/>
      <c r="H27" s="409"/>
      <c r="N27" s="390"/>
    </row>
    <row r="28" spans="1:14" ht="22.5" customHeight="1">
      <c r="C28" s="390"/>
      <c r="H28" s="378">
        <f>SUM(B24:F24)</f>
        <v>533</v>
      </c>
    </row>
    <row r="29" spans="1:14" ht="27.75" customHeight="1">
      <c r="J29" s="378">
        <v>534</v>
      </c>
    </row>
    <row r="30" spans="1:14" ht="16.5" customHeight="1"/>
    <row r="31" spans="1:14" ht="16.5" customHeight="1"/>
    <row r="32" spans="1:14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24.75" customHeight="1"/>
  </sheetData>
  <mergeCells count="3">
    <mergeCell ref="A1:H1"/>
    <mergeCell ref="A25:B25"/>
    <mergeCell ref="A26:H26"/>
  </mergeCells>
  <printOptions horizontalCentered="1" verticalCentered="1"/>
  <pageMargins left="0" right="0" top="0.98425196850393704" bottom="4.7244094488188981" header="0.51181102362204722" footer="0.51181102362204722"/>
  <pageSetup paperSize="9" scale="80" firstPageNumber="74" orientation="portrait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2:P31"/>
  <sheetViews>
    <sheetView rightToLeft="1" workbookViewId="0">
      <selection activeCell="A29" sqref="A4:K29"/>
    </sheetView>
  </sheetViews>
  <sheetFormatPr defaultColWidth="8" defaultRowHeight="12.75"/>
  <cols>
    <col min="1" max="2" width="8" style="1415"/>
    <col min="3" max="3" width="15.875" style="1415" hidden="1" customWidth="1"/>
    <col min="4" max="4" width="8.625" style="1415" customWidth="1"/>
    <col min="5" max="13" width="8.125" style="1415" customWidth="1"/>
    <col min="14" max="14" width="11.25" style="1415" customWidth="1"/>
    <col min="15" max="16384" width="8" style="1415"/>
  </cols>
  <sheetData>
    <row r="2" spans="1:16" hidden="1"/>
    <row r="3" spans="1:16" ht="30" hidden="1" customHeight="1" thickBot="1">
      <c r="D3" s="3148"/>
      <c r="E3" s="3148"/>
      <c r="F3" s="3148"/>
      <c r="G3" s="3148"/>
      <c r="H3" s="3148"/>
      <c r="I3" s="3148"/>
      <c r="J3" s="3148"/>
      <c r="K3" s="3148"/>
      <c r="L3" s="3148"/>
      <c r="M3" s="3148"/>
      <c r="N3" s="3148"/>
      <c r="P3" s="1415" t="s">
        <v>1572</v>
      </c>
    </row>
    <row r="4" spans="1:16" ht="32.25" customHeight="1" thickBot="1">
      <c r="A4" s="3149" t="s">
        <v>1573</v>
      </c>
      <c r="B4" s="3149"/>
      <c r="C4" s="3149"/>
      <c r="D4" s="3149"/>
      <c r="E4" s="3149"/>
      <c r="F4" s="3149"/>
      <c r="G4" s="3149"/>
      <c r="H4" s="3149"/>
      <c r="I4" s="3149"/>
      <c r="J4" s="3149"/>
      <c r="K4" s="3149"/>
      <c r="L4" s="1416"/>
      <c r="M4" s="1416"/>
      <c r="N4" s="1416"/>
    </row>
    <row r="5" spans="1:16" s="1418" customFormat="1" ht="20.25" thickBot="1">
      <c r="A5" s="3150" t="s">
        <v>1574</v>
      </c>
      <c r="B5" s="3152" t="s">
        <v>1575</v>
      </c>
      <c r="C5" s="3153"/>
      <c r="D5" s="3153"/>
      <c r="E5" s="3153"/>
      <c r="F5" s="3153"/>
      <c r="G5" s="3153"/>
      <c r="H5" s="3153"/>
      <c r="I5" s="3153"/>
      <c r="J5" s="3154"/>
      <c r="K5" s="1417"/>
    </row>
    <row r="6" spans="1:16" s="1418" customFormat="1" ht="20.25" thickBot="1">
      <c r="A6" s="3151"/>
      <c r="B6" s="1419" t="s">
        <v>1576</v>
      </c>
      <c r="C6" s="1419" t="s">
        <v>1577</v>
      </c>
      <c r="D6" s="1419" t="s">
        <v>1578</v>
      </c>
      <c r="E6" s="1419" t="s">
        <v>1579</v>
      </c>
      <c r="F6" s="1419" t="s">
        <v>1580</v>
      </c>
      <c r="G6" s="1419" t="s">
        <v>1581</v>
      </c>
      <c r="H6" s="1420" t="s">
        <v>1582</v>
      </c>
      <c r="I6" s="1419" t="s">
        <v>1583</v>
      </c>
      <c r="J6" s="1420" t="s">
        <v>1584</v>
      </c>
      <c r="K6" s="1421" t="s">
        <v>387</v>
      </c>
    </row>
    <row r="7" spans="1:16" s="1418" customFormat="1" ht="21.75">
      <c r="A7" s="1422" t="s">
        <v>68</v>
      </c>
      <c r="B7" s="1423">
        <v>131</v>
      </c>
      <c r="C7" s="1424">
        <v>0</v>
      </c>
      <c r="D7" s="1424">
        <v>214</v>
      </c>
      <c r="E7" s="1424">
        <v>3</v>
      </c>
      <c r="F7" s="1424">
        <v>26</v>
      </c>
      <c r="G7" s="1424">
        <v>0</v>
      </c>
      <c r="H7" s="1424">
        <v>54</v>
      </c>
      <c r="I7" s="1424">
        <v>0</v>
      </c>
      <c r="J7" s="1425">
        <v>3</v>
      </c>
      <c r="K7" s="1426">
        <f>SUM(B7:J7)</f>
        <v>431</v>
      </c>
    </row>
    <row r="8" spans="1:16" s="1418" customFormat="1" ht="21.75">
      <c r="A8" s="1427" t="s">
        <v>69</v>
      </c>
      <c r="B8" s="1428">
        <v>20</v>
      </c>
      <c r="C8" s="1429">
        <v>0</v>
      </c>
      <c r="D8" s="1429">
        <v>101</v>
      </c>
      <c r="E8" s="1429">
        <v>3</v>
      </c>
      <c r="F8" s="1429">
        <v>16</v>
      </c>
      <c r="G8" s="1429">
        <v>0</v>
      </c>
      <c r="H8" s="1429">
        <v>17</v>
      </c>
      <c r="I8" s="1429">
        <v>0</v>
      </c>
      <c r="J8" s="1430">
        <v>0</v>
      </c>
      <c r="K8" s="1426">
        <f>SUM(B8:J8)</f>
        <v>157</v>
      </c>
    </row>
    <row r="9" spans="1:16" s="1418" customFormat="1" ht="21.75">
      <c r="A9" s="1427" t="s">
        <v>70</v>
      </c>
      <c r="B9" s="1431">
        <v>97</v>
      </c>
      <c r="C9" s="1432">
        <v>0</v>
      </c>
      <c r="D9" s="1432">
        <v>188</v>
      </c>
      <c r="E9" s="1432">
        <v>2</v>
      </c>
      <c r="F9" s="1432">
        <v>9</v>
      </c>
      <c r="G9" s="1432">
        <v>13</v>
      </c>
      <c r="H9" s="1432">
        <v>25</v>
      </c>
      <c r="I9" s="1432">
        <v>0</v>
      </c>
      <c r="J9" s="1433">
        <v>0</v>
      </c>
      <c r="K9" s="1426">
        <f>SUM(B9:J9)</f>
        <v>334</v>
      </c>
    </row>
    <row r="10" spans="1:16" s="1418" customFormat="1" ht="21.75">
      <c r="A10" s="1427" t="s">
        <v>71</v>
      </c>
      <c r="B10" s="1431">
        <v>370</v>
      </c>
      <c r="C10" s="1432">
        <v>0</v>
      </c>
      <c r="D10" s="1432">
        <v>292</v>
      </c>
      <c r="E10" s="1432">
        <v>17</v>
      </c>
      <c r="F10" s="1432">
        <v>65</v>
      </c>
      <c r="G10" s="1432">
        <v>0</v>
      </c>
      <c r="H10" s="1432">
        <v>127</v>
      </c>
      <c r="I10" s="1432">
        <v>0</v>
      </c>
      <c r="J10" s="1433">
        <v>29</v>
      </c>
      <c r="K10" s="1426">
        <f t="shared" ref="K10:K27" si="0">SUM(B10:J10)</f>
        <v>900</v>
      </c>
    </row>
    <row r="11" spans="1:16" s="1418" customFormat="1" ht="21.75">
      <c r="A11" s="1427" t="s">
        <v>72</v>
      </c>
      <c r="B11" s="1428">
        <v>19</v>
      </c>
      <c r="C11" s="1429">
        <v>54</v>
      </c>
      <c r="D11" s="1429"/>
      <c r="E11" s="1429">
        <v>25</v>
      </c>
      <c r="F11" s="1429">
        <v>30</v>
      </c>
      <c r="G11" s="1429"/>
      <c r="H11" s="1429">
        <v>40</v>
      </c>
      <c r="I11" s="1429">
        <v>21</v>
      </c>
      <c r="J11" s="1430">
        <v>15</v>
      </c>
      <c r="K11" s="1426">
        <f t="shared" si="0"/>
        <v>204</v>
      </c>
    </row>
    <row r="12" spans="1:16" s="1418" customFormat="1" ht="21.75">
      <c r="A12" s="1427" t="s">
        <v>73</v>
      </c>
      <c r="B12" s="1428">
        <v>65</v>
      </c>
      <c r="C12" s="1429">
        <v>0</v>
      </c>
      <c r="D12" s="1429">
        <v>62</v>
      </c>
      <c r="E12" s="1429">
        <v>0</v>
      </c>
      <c r="F12" s="1429">
        <v>11</v>
      </c>
      <c r="G12" s="1429">
        <v>0</v>
      </c>
      <c r="H12" s="1429">
        <v>7</v>
      </c>
      <c r="I12" s="1429">
        <v>0</v>
      </c>
      <c r="J12" s="1430">
        <v>0</v>
      </c>
      <c r="K12" s="1426">
        <f t="shared" si="0"/>
        <v>145</v>
      </c>
    </row>
    <row r="13" spans="1:16" s="1418" customFormat="1" ht="21.75">
      <c r="A13" s="1427" t="s">
        <v>401</v>
      </c>
      <c r="B13" s="1428">
        <v>37</v>
      </c>
      <c r="C13" s="1429">
        <v>0</v>
      </c>
      <c r="D13" s="1429">
        <v>20</v>
      </c>
      <c r="E13" s="1429">
        <v>0</v>
      </c>
      <c r="F13" s="1429">
        <v>1</v>
      </c>
      <c r="G13" s="1429">
        <v>0</v>
      </c>
      <c r="H13" s="1429">
        <v>3</v>
      </c>
      <c r="I13" s="1429">
        <v>30</v>
      </c>
      <c r="J13" s="1430">
        <v>17</v>
      </c>
      <c r="K13" s="1426">
        <f t="shared" si="0"/>
        <v>108</v>
      </c>
    </row>
    <row r="14" spans="1:16" s="1418" customFormat="1" ht="21.75">
      <c r="A14" s="1427" t="s">
        <v>483</v>
      </c>
      <c r="B14" s="1428">
        <v>407</v>
      </c>
      <c r="C14" s="1429">
        <v>0</v>
      </c>
      <c r="D14" s="1429">
        <v>56</v>
      </c>
      <c r="E14" s="1429">
        <v>0</v>
      </c>
      <c r="F14" s="1429">
        <v>7</v>
      </c>
      <c r="G14" s="1429">
        <v>0</v>
      </c>
      <c r="H14" s="1429">
        <v>15</v>
      </c>
      <c r="I14" s="1429">
        <v>0</v>
      </c>
      <c r="J14" s="1430">
        <v>0</v>
      </c>
      <c r="K14" s="1426">
        <f t="shared" si="0"/>
        <v>485</v>
      </c>
    </row>
    <row r="15" spans="1:16" s="1418" customFormat="1" ht="21.75">
      <c r="A15" s="1427" t="s">
        <v>76</v>
      </c>
      <c r="B15" s="1428">
        <v>501</v>
      </c>
      <c r="C15" s="1429">
        <v>0</v>
      </c>
      <c r="D15" s="1429">
        <v>184</v>
      </c>
      <c r="E15" s="1429">
        <v>44</v>
      </c>
      <c r="F15" s="1429">
        <v>211</v>
      </c>
      <c r="G15" s="1429">
        <v>0</v>
      </c>
      <c r="H15" s="1429">
        <v>0</v>
      </c>
      <c r="I15" s="1429">
        <v>0</v>
      </c>
      <c r="J15" s="1430">
        <v>0</v>
      </c>
      <c r="K15" s="1426">
        <f t="shared" si="0"/>
        <v>940</v>
      </c>
    </row>
    <row r="16" spans="1:16" s="1418" customFormat="1" ht="21.75">
      <c r="A16" s="1427" t="s">
        <v>77</v>
      </c>
      <c r="B16" s="1431">
        <v>52</v>
      </c>
      <c r="C16" s="1432">
        <v>1</v>
      </c>
      <c r="D16" s="1432">
        <v>112</v>
      </c>
      <c r="E16" s="1432">
        <v>0</v>
      </c>
      <c r="F16" s="1432">
        <v>16</v>
      </c>
      <c r="G16" s="1432">
        <v>0</v>
      </c>
      <c r="H16" s="1432">
        <v>18</v>
      </c>
      <c r="I16" s="1432">
        <v>24</v>
      </c>
      <c r="J16" s="1433"/>
      <c r="K16" s="1426">
        <f t="shared" si="0"/>
        <v>223</v>
      </c>
    </row>
    <row r="17" spans="1:14" s="1418" customFormat="1" ht="21.75">
      <c r="A17" s="1427" t="s">
        <v>78</v>
      </c>
      <c r="B17" s="1428">
        <v>110</v>
      </c>
      <c r="C17" s="1429">
        <v>0</v>
      </c>
      <c r="D17" s="1429">
        <v>470</v>
      </c>
      <c r="E17" s="1429">
        <v>0</v>
      </c>
      <c r="F17" s="1429">
        <v>82</v>
      </c>
      <c r="G17" s="1429">
        <v>0</v>
      </c>
      <c r="H17" s="1429">
        <v>30</v>
      </c>
      <c r="I17" s="1429">
        <v>2</v>
      </c>
      <c r="J17" s="1430">
        <v>35</v>
      </c>
      <c r="K17" s="1426">
        <f t="shared" si="0"/>
        <v>729</v>
      </c>
    </row>
    <row r="18" spans="1:14" s="1418" customFormat="1" ht="21.75">
      <c r="A18" s="1427" t="s">
        <v>86</v>
      </c>
      <c r="B18" s="1431">
        <v>27</v>
      </c>
      <c r="C18" s="1432">
        <v>0</v>
      </c>
      <c r="D18" s="1432">
        <v>78</v>
      </c>
      <c r="E18" s="1432">
        <v>7</v>
      </c>
      <c r="F18" s="1432">
        <v>37</v>
      </c>
      <c r="G18" s="1432">
        <v>0</v>
      </c>
      <c r="H18" s="1432">
        <v>2</v>
      </c>
      <c r="I18" s="1432">
        <v>1</v>
      </c>
      <c r="J18" s="1433">
        <v>6</v>
      </c>
      <c r="K18" s="1426">
        <f t="shared" si="0"/>
        <v>158</v>
      </c>
    </row>
    <row r="19" spans="1:14" s="1418" customFormat="1" ht="21.75">
      <c r="A19" s="1427" t="s">
        <v>79</v>
      </c>
      <c r="B19" s="1431">
        <v>240</v>
      </c>
      <c r="C19" s="1432">
        <v>83</v>
      </c>
      <c r="D19" s="1432">
        <v>161</v>
      </c>
      <c r="E19" s="1432">
        <v>19</v>
      </c>
      <c r="F19" s="1432">
        <v>38</v>
      </c>
      <c r="G19" s="1432">
        <v>0</v>
      </c>
      <c r="H19" s="1432">
        <v>8</v>
      </c>
      <c r="I19" s="1432">
        <v>0</v>
      </c>
      <c r="J19" s="1433">
        <v>0</v>
      </c>
      <c r="K19" s="1426">
        <f t="shared" si="0"/>
        <v>549</v>
      </c>
    </row>
    <row r="20" spans="1:14" s="1418" customFormat="1" ht="21.75">
      <c r="A20" s="1427" t="s">
        <v>82</v>
      </c>
      <c r="B20" s="1434">
        <v>213</v>
      </c>
      <c r="C20" s="1435">
        <v>0</v>
      </c>
      <c r="D20" s="1435">
        <v>0</v>
      </c>
      <c r="E20" s="1435">
        <v>0</v>
      </c>
      <c r="F20" s="1435">
        <v>0</v>
      </c>
      <c r="G20" s="1435">
        <v>0</v>
      </c>
      <c r="H20" s="1435">
        <v>0</v>
      </c>
      <c r="I20" s="1435">
        <v>0</v>
      </c>
      <c r="J20" s="1436">
        <v>36</v>
      </c>
      <c r="K20" s="1426">
        <f t="shared" si="0"/>
        <v>249</v>
      </c>
    </row>
    <row r="21" spans="1:14" s="1418" customFormat="1" ht="21.75">
      <c r="A21" s="1427" t="s">
        <v>403</v>
      </c>
      <c r="B21" s="1428">
        <v>106</v>
      </c>
      <c r="C21" s="1429">
        <v>5</v>
      </c>
      <c r="D21" s="1429">
        <v>134</v>
      </c>
      <c r="E21" s="1429">
        <v>1</v>
      </c>
      <c r="F21" s="1429">
        <v>21</v>
      </c>
      <c r="G21" s="1429">
        <v>0</v>
      </c>
      <c r="H21" s="1429">
        <v>0</v>
      </c>
      <c r="I21" s="1429">
        <v>0</v>
      </c>
      <c r="J21" s="1430">
        <v>0</v>
      </c>
      <c r="K21" s="1426">
        <f t="shared" si="0"/>
        <v>267</v>
      </c>
    </row>
    <row r="22" spans="1:14" s="1418" customFormat="1" ht="21.75">
      <c r="A22" s="1427" t="s">
        <v>85</v>
      </c>
      <c r="B22" s="1437">
        <v>235</v>
      </c>
      <c r="C22" s="1438">
        <v>0</v>
      </c>
      <c r="D22" s="1438">
        <v>0</v>
      </c>
      <c r="E22" s="1438">
        <v>0</v>
      </c>
      <c r="F22" s="1438">
        <v>1</v>
      </c>
      <c r="G22" s="1438">
        <v>0</v>
      </c>
      <c r="H22" s="1438">
        <v>0</v>
      </c>
      <c r="I22" s="1438">
        <v>0</v>
      </c>
      <c r="J22" s="1439">
        <v>0</v>
      </c>
      <c r="K22" s="1426">
        <f t="shared" si="0"/>
        <v>236</v>
      </c>
    </row>
    <row r="23" spans="1:14" s="1418" customFormat="1" ht="21.75">
      <c r="A23" s="1427" t="s">
        <v>84</v>
      </c>
      <c r="B23" s="1440">
        <v>504</v>
      </c>
      <c r="C23" s="1441">
        <v>0</v>
      </c>
      <c r="D23" s="1441">
        <v>0</v>
      </c>
      <c r="E23" s="1441">
        <v>0</v>
      </c>
      <c r="F23" s="1441">
        <v>6</v>
      </c>
      <c r="G23" s="1441">
        <v>0</v>
      </c>
      <c r="H23" s="1441">
        <v>0</v>
      </c>
      <c r="I23" s="1441">
        <v>0</v>
      </c>
      <c r="J23" s="1433">
        <v>0</v>
      </c>
      <c r="K23" s="1426">
        <f t="shared" si="0"/>
        <v>510</v>
      </c>
    </row>
    <row r="24" spans="1:14" s="1418" customFormat="1" ht="21.75">
      <c r="A24" s="1427" t="s">
        <v>87</v>
      </c>
      <c r="B24" s="1440">
        <v>111</v>
      </c>
      <c r="C24" s="1441">
        <v>7</v>
      </c>
      <c r="D24" s="1441">
        <v>180</v>
      </c>
      <c r="E24" s="1441">
        <v>0</v>
      </c>
      <c r="F24" s="1441">
        <v>2</v>
      </c>
      <c r="G24" s="1432">
        <v>0</v>
      </c>
      <c r="H24" s="1441">
        <v>10</v>
      </c>
      <c r="I24" s="1432">
        <v>0</v>
      </c>
      <c r="J24" s="1433">
        <v>0</v>
      </c>
      <c r="K24" s="1426">
        <f t="shared" si="0"/>
        <v>310</v>
      </c>
    </row>
    <row r="25" spans="1:14" s="1418" customFormat="1" ht="21.75">
      <c r="A25" s="1442" t="s">
        <v>80</v>
      </c>
      <c r="B25" s="1431">
        <v>410</v>
      </c>
      <c r="C25" s="1432">
        <v>36</v>
      </c>
      <c r="D25" s="1432">
        <v>88</v>
      </c>
      <c r="E25" s="1432">
        <v>27</v>
      </c>
      <c r="F25" s="1432">
        <v>84</v>
      </c>
      <c r="G25" s="1432">
        <v>0</v>
      </c>
      <c r="H25" s="1432">
        <v>2</v>
      </c>
      <c r="I25" s="1432">
        <v>0</v>
      </c>
      <c r="J25" s="1433">
        <v>0</v>
      </c>
      <c r="K25" s="1426">
        <f t="shared" si="0"/>
        <v>647</v>
      </c>
    </row>
    <row r="26" spans="1:14" s="1418" customFormat="1" ht="21.75">
      <c r="A26" s="1443" t="s">
        <v>88</v>
      </c>
      <c r="B26" s="1434">
        <v>95</v>
      </c>
      <c r="C26" s="1435">
        <v>0</v>
      </c>
      <c r="D26" s="1435">
        <v>0</v>
      </c>
      <c r="E26" s="1435">
        <v>0</v>
      </c>
      <c r="F26" s="1435">
        <v>0</v>
      </c>
      <c r="G26" s="1435">
        <v>0</v>
      </c>
      <c r="H26" s="1435">
        <v>0</v>
      </c>
      <c r="I26" s="1435">
        <v>0</v>
      </c>
      <c r="J26" s="1436">
        <v>0</v>
      </c>
      <c r="K26" s="1426">
        <f t="shared" si="0"/>
        <v>95</v>
      </c>
    </row>
    <row r="27" spans="1:14" s="1418" customFormat="1" ht="22.5" thickBot="1">
      <c r="A27" s="1444" t="s">
        <v>83</v>
      </c>
      <c r="B27" s="1445">
        <v>480</v>
      </c>
      <c r="C27" s="1446">
        <v>7</v>
      </c>
      <c r="D27" s="1446">
        <v>0</v>
      </c>
      <c r="E27" s="1446">
        <v>3</v>
      </c>
      <c r="F27" s="1446">
        <v>0</v>
      </c>
      <c r="G27" s="1446">
        <v>0</v>
      </c>
      <c r="H27" s="1446">
        <v>0</v>
      </c>
      <c r="I27" s="1446">
        <v>0</v>
      </c>
      <c r="J27" s="1447">
        <v>0</v>
      </c>
      <c r="K27" s="1448">
        <f t="shared" si="0"/>
        <v>490</v>
      </c>
    </row>
    <row r="28" spans="1:14" s="1418" customFormat="1" ht="22.5" thickBot="1">
      <c r="A28" s="1449" t="s">
        <v>49</v>
      </c>
      <c r="B28" s="1450">
        <f t="shared" ref="B28:K28" si="1">SUM(B7:B27)</f>
        <v>4230</v>
      </c>
      <c r="C28" s="1451">
        <f t="shared" si="1"/>
        <v>193</v>
      </c>
      <c r="D28" s="1451">
        <f t="shared" si="1"/>
        <v>2340</v>
      </c>
      <c r="E28" s="1451">
        <f t="shared" si="1"/>
        <v>151</v>
      </c>
      <c r="F28" s="1452">
        <f t="shared" si="1"/>
        <v>663</v>
      </c>
      <c r="G28" s="1450">
        <f t="shared" si="1"/>
        <v>13</v>
      </c>
      <c r="H28" s="1451">
        <f t="shared" si="1"/>
        <v>358</v>
      </c>
      <c r="I28" s="1451">
        <f t="shared" si="1"/>
        <v>78</v>
      </c>
      <c r="J28" s="1451">
        <f t="shared" si="1"/>
        <v>141</v>
      </c>
      <c r="K28" s="1453">
        <f t="shared" si="1"/>
        <v>8167</v>
      </c>
    </row>
    <row r="29" spans="1:14" ht="21" customHeight="1">
      <c r="A29" s="3147" t="s">
        <v>917</v>
      </c>
      <c r="B29" s="3147"/>
      <c r="C29" s="3147"/>
      <c r="D29" s="3147"/>
      <c r="H29" s="2808"/>
      <c r="I29" s="2808"/>
      <c r="J29" s="2808"/>
      <c r="K29" s="2808"/>
      <c r="L29" s="2808"/>
      <c r="M29" s="2808"/>
      <c r="N29" s="2808"/>
    </row>
    <row r="31" spans="1:14">
      <c r="H31" s="1454"/>
    </row>
  </sheetData>
  <mergeCells count="5">
    <mergeCell ref="A29:D29"/>
    <mergeCell ref="D3:N3"/>
    <mergeCell ref="A4:K4"/>
    <mergeCell ref="A5:A6"/>
    <mergeCell ref="B5:J5"/>
  </mergeCells>
  <printOptions horizontalCentered="1" verticalCentered="1"/>
  <pageMargins left="0.74803149606299213" right="0.74803149606299213" top="0.51181102362204722" bottom="0.39370078740157483" header="0.51181102362204722" footer="0.27559055118110237"/>
  <pageSetup paperSize="9" scale="8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J46"/>
  <sheetViews>
    <sheetView rightToLeft="1" workbookViewId="0">
      <selection activeCell="A46" sqref="A46"/>
    </sheetView>
  </sheetViews>
  <sheetFormatPr defaultColWidth="9.125" defaultRowHeight="12.75"/>
  <cols>
    <col min="1" max="1" width="9" style="1151" customWidth="1"/>
    <col min="2" max="2" width="18.375" style="1151" bestFit="1" customWidth="1"/>
    <col min="3" max="3" width="49.25" style="1151" customWidth="1"/>
    <col min="4" max="4" width="10.25" style="1151" bestFit="1" customWidth="1"/>
    <col min="5" max="5" width="18.875" style="1151" customWidth="1"/>
    <col min="6" max="16384" width="9.125" style="1151"/>
  </cols>
  <sheetData>
    <row r="1" spans="1:10" ht="24.75" thickBot="1">
      <c r="A1" s="3156" t="s">
        <v>1585</v>
      </c>
      <c r="B1" s="3156"/>
      <c r="C1" s="3156"/>
      <c r="D1" s="3156"/>
      <c r="E1" s="3156"/>
    </row>
    <row r="2" spans="1:10" ht="63.75" thickBot="1">
      <c r="A2" s="2813" t="s">
        <v>338</v>
      </c>
      <c r="B2" s="2814" t="s">
        <v>1444</v>
      </c>
      <c r="C2" s="2815" t="s">
        <v>1586</v>
      </c>
      <c r="D2" s="2815" t="s">
        <v>1587</v>
      </c>
      <c r="E2" s="2816" t="s">
        <v>1588</v>
      </c>
      <c r="G2" s="3157"/>
      <c r="H2" s="3157"/>
      <c r="I2" s="3157"/>
      <c r="J2" s="3157"/>
    </row>
    <row r="3" spans="1:10" ht="19.5">
      <c r="A3" s="3158" t="s">
        <v>68</v>
      </c>
      <c r="B3" s="2809" t="s">
        <v>1589</v>
      </c>
      <c r="C3" s="2810" t="s">
        <v>1590</v>
      </c>
      <c r="D3" s="2811">
        <v>19</v>
      </c>
      <c r="E3" s="2812" t="s">
        <v>1591</v>
      </c>
    </row>
    <row r="4" spans="1:10" ht="19.5">
      <c r="A4" s="3158"/>
      <c r="B4" s="1455" t="s">
        <v>1467</v>
      </c>
      <c r="C4" s="1456" t="s">
        <v>1590</v>
      </c>
      <c r="D4" s="1457">
        <v>19</v>
      </c>
      <c r="E4" s="1458" t="s">
        <v>1592</v>
      </c>
    </row>
    <row r="5" spans="1:10" ht="19.5">
      <c r="A5" s="3159"/>
      <c r="B5" s="1455" t="s">
        <v>1593</v>
      </c>
      <c r="C5" s="1456" t="s">
        <v>1590</v>
      </c>
      <c r="D5" s="1457">
        <v>19</v>
      </c>
      <c r="E5" s="1458" t="s">
        <v>1594</v>
      </c>
    </row>
    <row r="6" spans="1:10" ht="19.5">
      <c r="A6" s="2525" t="s">
        <v>69</v>
      </c>
      <c r="B6" s="1455" t="s">
        <v>1595</v>
      </c>
      <c r="C6" s="1455" t="s">
        <v>1596</v>
      </c>
      <c r="D6" s="1459">
        <v>1886.44</v>
      </c>
      <c r="E6" s="1460" t="s">
        <v>1597</v>
      </c>
    </row>
    <row r="7" spans="1:10" ht="19.5">
      <c r="A7" s="2525" t="s">
        <v>86</v>
      </c>
      <c r="B7" s="1461" t="s">
        <v>1598</v>
      </c>
      <c r="C7" s="1461" t="s">
        <v>1599</v>
      </c>
      <c r="D7" s="1462">
        <v>727.27</v>
      </c>
      <c r="E7" s="1460" t="s">
        <v>1600</v>
      </c>
    </row>
    <row r="8" spans="1:10" ht="19.5">
      <c r="A8" s="2525" t="s">
        <v>70</v>
      </c>
      <c r="B8" s="1455" t="s">
        <v>1601</v>
      </c>
      <c r="C8" s="1455" t="s">
        <v>1602</v>
      </c>
      <c r="D8" s="1459">
        <v>2217</v>
      </c>
      <c r="E8" s="1460" t="s">
        <v>1597</v>
      </c>
    </row>
    <row r="9" spans="1:10" ht="19.5">
      <c r="A9" s="3160" t="s">
        <v>71</v>
      </c>
      <c r="B9" s="1455" t="s">
        <v>1603</v>
      </c>
      <c r="C9" s="1455" t="s">
        <v>1604</v>
      </c>
      <c r="D9" s="1457">
        <v>1044</v>
      </c>
      <c r="E9" s="1458" t="s">
        <v>1605</v>
      </c>
    </row>
    <row r="10" spans="1:10" ht="19.5">
      <c r="A10" s="3158"/>
      <c r="B10" s="1455" t="s">
        <v>1606</v>
      </c>
      <c r="C10" s="1455" t="s">
        <v>1607</v>
      </c>
      <c r="D10" s="1457">
        <v>1117</v>
      </c>
      <c r="E10" s="1460" t="s">
        <v>1597</v>
      </c>
    </row>
    <row r="11" spans="1:10" ht="19.5">
      <c r="A11" s="3158"/>
      <c r="B11" s="1455" t="s">
        <v>1608</v>
      </c>
      <c r="C11" s="1455" t="s">
        <v>1609</v>
      </c>
      <c r="D11" s="1457">
        <v>1317</v>
      </c>
      <c r="E11" s="1460" t="s">
        <v>1597</v>
      </c>
    </row>
    <row r="12" spans="1:10" ht="19.5">
      <c r="A12" s="3159"/>
      <c r="B12" s="1455" t="s">
        <v>1610</v>
      </c>
      <c r="C12" s="1455" t="s">
        <v>1611</v>
      </c>
      <c r="D12" s="1457">
        <v>1117</v>
      </c>
      <c r="E12" s="1460" t="s">
        <v>1597</v>
      </c>
    </row>
    <row r="13" spans="1:10" ht="19.5">
      <c r="A13" s="2525" t="s">
        <v>482</v>
      </c>
      <c r="B13" s="1455" t="s">
        <v>1612</v>
      </c>
      <c r="C13" s="1455" t="s">
        <v>1613</v>
      </c>
      <c r="D13" s="1459">
        <v>1484</v>
      </c>
      <c r="E13" s="1460" t="s">
        <v>1614</v>
      </c>
    </row>
    <row r="14" spans="1:10" ht="19.5">
      <c r="A14" s="2525" t="s">
        <v>72</v>
      </c>
      <c r="B14" s="1455" t="s">
        <v>1615</v>
      </c>
      <c r="C14" s="1455" t="s">
        <v>1616</v>
      </c>
      <c r="D14" s="1459">
        <v>2109</v>
      </c>
      <c r="E14" s="1460" t="s">
        <v>1617</v>
      </c>
    </row>
    <row r="15" spans="1:10" ht="19.5">
      <c r="A15" s="2525" t="s">
        <v>87</v>
      </c>
      <c r="B15" s="1455" t="s">
        <v>1618</v>
      </c>
      <c r="C15" s="1455" t="s">
        <v>1619</v>
      </c>
      <c r="D15" s="1459">
        <v>1567</v>
      </c>
      <c r="E15" s="1460" t="s">
        <v>1597</v>
      </c>
    </row>
    <row r="16" spans="1:10" ht="19.5">
      <c r="A16" s="3155" t="s">
        <v>401</v>
      </c>
      <c r="B16" s="1457" t="s">
        <v>1620</v>
      </c>
      <c r="C16" s="1463" t="s">
        <v>1621</v>
      </c>
      <c r="D16" s="1459">
        <v>77</v>
      </c>
      <c r="E16" s="1464" t="s">
        <v>1622</v>
      </c>
    </row>
    <row r="17" spans="1:5" ht="19.5">
      <c r="A17" s="3155"/>
      <c r="B17" s="1457" t="s">
        <v>1623</v>
      </c>
      <c r="C17" s="1465" t="s">
        <v>1624</v>
      </c>
      <c r="D17" s="1459">
        <v>0</v>
      </c>
      <c r="E17" s="1458" t="s">
        <v>1625</v>
      </c>
    </row>
    <row r="18" spans="1:5" ht="19.5">
      <c r="A18" s="3155" t="s">
        <v>483</v>
      </c>
      <c r="B18" s="1455" t="s">
        <v>1626</v>
      </c>
      <c r="C18" s="1455" t="s">
        <v>1627</v>
      </c>
      <c r="D18" s="1466">
        <v>1155</v>
      </c>
      <c r="E18" s="1460" t="s">
        <v>1597</v>
      </c>
    </row>
    <row r="19" spans="1:5" ht="19.5">
      <c r="A19" s="3155"/>
      <c r="B19" s="1455" t="s">
        <v>1628</v>
      </c>
      <c r="C19" s="1455" t="s">
        <v>1629</v>
      </c>
      <c r="D19" s="1457">
        <v>1352</v>
      </c>
      <c r="E19" s="1460" t="s">
        <v>1597</v>
      </c>
    </row>
    <row r="20" spans="1:5" ht="19.5">
      <c r="A20" s="3155"/>
      <c r="B20" s="1455" t="s">
        <v>1630</v>
      </c>
      <c r="C20" s="1455" t="s">
        <v>1631</v>
      </c>
      <c r="D20" s="1457">
        <v>1407</v>
      </c>
      <c r="E20" s="1460" t="s">
        <v>1597</v>
      </c>
    </row>
    <row r="21" spans="1:5" ht="19.5">
      <c r="A21" s="3155"/>
      <c r="B21" s="1455" t="s">
        <v>1632</v>
      </c>
      <c r="C21" s="1455" t="s">
        <v>1633</v>
      </c>
      <c r="D21" s="1457">
        <v>1658</v>
      </c>
      <c r="E21" s="1460" t="s">
        <v>1597</v>
      </c>
    </row>
    <row r="22" spans="1:5" ht="19.5">
      <c r="A22" s="3155"/>
      <c r="B22" s="1455" t="s">
        <v>1634</v>
      </c>
      <c r="C22" s="1455" t="s">
        <v>1635</v>
      </c>
      <c r="D22" s="1457">
        <v>1517</v>
      </c>
      <c r="E22" s="1460" t="s">
        <v>1597</v>
      </c>
    </row>
    <row r="23" spans="1:5" ht="19.5">
      <c r="A23" s="3155"/>
      <c r="B23" s="1455" t="s">
        <v>1636</v>
      </c>
      <c r="C23" s="1455" t="s">
        <v>1637</v>
      </c>
      <c r="D23" s="1466">
        <v>1308</v>
      </c>
      <c r="E23" s="1460" t="s">
        <v>1597</v>
      </c>
    </row>
    <row r="24" spans="1:5" ht="19.5">
      <c r="A24" s="3155" t="s">
        <v>76</v>
      </c>
      <c r="B24" s="1455" t="s">
        <v>1638</v>
      </c>
      <c r="C24" s="1455" t="s">
        <v>1639</v>
      </c>
      <c r="D24" s="1457">
        <v>1396</v>
      </c>
      <c r="E24" s="1460" t="s">
        <v>1640</v>
      </c>
    </row>
    <row r="25" spans="1:5" ht="19.5">
      <c r="A25" s="3155"/>
      <c r="B25" s="1455" t="s">
        <v>1641</v>
      </c>
      <c r="C25" s="1455" t="s">
        <v>1642</v>
      </c>
      <c r="D25" s="1457">
        <v>1050</v>
      </c>
      <c r="E25" s="1460" t="s">
        <v>1643</v>
      </c>
    </row>
    <row r="26" spans="1:5" ht="19.5">
      <c r="A26" s="3155" t="s">
        <v>77</v>
      </c>
      <c r="B26" s="1455" t="s">
        <v>1644</v>
      </c>
      <c r="C26" s="1455" t="s">
        <v>1645</v>
      </c>
      <c r="D26" s="1457">
        <v>1841.4</v>
      </c>
      <c r="E26" s="1460" t="s">
        <v>1646</v>
      </c>
    </row>
    <row r="27" spans="1:5" ht="19.5">
      <c r="A27" s="3155"/>
      <c r="B27" s="1457" t="s">
        <v>1540</v>
      </c>
      <c r="C27" s="1457" t="s">
        <v>1647</v>
      </c>
      <c r="D27" s="1466">
        <v>1841.4</v>
      </c>
      <c r="E27" s="1460" t="s">
        <v>1643</v>
      </c>
    </row>
    <row r="28" spans="1:5" ht="19.5">
      <c r="A28" s="3155" t="s">
        <v>78</v>
      </c>
      <c r="B28" s="1455" t="s">
        <v>1648</v>
      </c>
      <c r="C28" s="1455" t="s">
        <v>1649</v>
      </c>
      <c r="D28" s="1457">
        <v>1435</v>
      </c>
      <c r="E28" s="1460" t="s">
        <v>1650</v>
      </c>
    </row>
    <row r="29" spans="1:5" ht="19.5">
      <c r="A29" s="3155"/>
      <c r="B29" s="1455" t="s">
        <v>1651</v>
      </c>
      <c r="C29" s="1455" t="s">
        <v>1652</v>
      </c>
      <c r="D29" s="1457">
        <v>1873</v>
      </c>
      <c r="E29" s="1460" t="s">
        <v>1597</v>
      </c>
    </row>
    <row r="30" spans="1:5" ht="19.5">
      <c r="A30" s="3155"/>
      <c r="B30" s="1455" t="s">
        <v>1653</v>
      </c>
      <c r="C30" s="1455" t="s">
        <v>1654</v>
      </c>
      <c r="D30" s="1457">
        <v>1829</v>
      </c>
      <c r="E30" s="1460" t="s">
        <v>1655</v>
      </c>
    </row>
    <row r="31" spans="1:5" ht="19.5">
      <c r="A31" s="3155"/>
      <c r="B31" s="1455" t="s">
        <v>1656</v>
      </c>
      <c r="C31" s="1455" t="s">
        <v>1657</v>
      </c>
      <c r="D31" s="1457">
        <v>2069</v>
      </c>
      <c r="E31" s="1460" t="s">
        <v>1597</v>
      </c>
    </row>
    <row r="32" spans="1:5" ht="19.5">
      <c r="A32" s="3155"/>
      <c r="B32" s="1455" t="s">
        <v>1658</v>
      </c>
      <c r="C32" s="1455" t="s">
        <v>1659</v>
      </c>
      <c r="D32" s="1457">
        <v>1463</v>
      </c>
      <c r="E32" s="1460" t="s">
        <v>1597</v>
      </c>
    </row>
    <row r="33" spans="1:5" ht="19.5">
      <c r="A33" s="3155" t="s">
        <v>79</v>
      </c>
      <c r="B33" s="1455" t="s">
        <v>1660</v>
      </c>
      <c r="C33" s="1455" t="s">
        <v>1661</v>
      </c>
      <c r="D33" s="1459">
        <v>1689</v>
      </c>
      <c r="E33" s="1460" t="s">
        <v>1662</v>
      </c>
    </row>
    <row r="34" spans="1:5" ht="19.5">
      <c r="A34" s="3155"/>
      <c r="B34" s="1455" t="s">
        <v>1663</v>
      </c>
      <c r="C34" s="1455" t="s">
        <v>1664</v>
      </c>
      <c r="D34" s="1455">
        <v>2060</v>
      </c>
      <c r="E34" s="1460" t="s">
        <v>1597</v>
      </c>
    </row>
    <row r="35" spans="1:5" ht="19.5">
      <c r="A35" s="3160" t="s">
        <v>80</v>
      </c>
      <c r="B35" s="1455" t="s">
        <v>1665</v>
      </c>
      <c r="C35" s="1455" t="s">
        <v>1666</v>
      </c>
      <c r="D35" s="1467">
        <v>1130</v>
      </c>
      <c r="E35" s="1458" t="s">
        <v>1667</v>
      </c>
    </row>
    <row r="36" spans="1:5" ht="19.5">
      <c r="A36" s="3158"/>
      <c r="B36" s="1455" t="s">
        <v>1668</v>
      </c>
      <c r="C36" s="1455" t="s">
        <v>1669</v>
      </c>
      <c r="D36" s="1467">
        <v>1420</v>
      </c>
      <c r="E36" s="1458" t="s">
        <v>1670</v>
      </c>
    </row>
    <row r="37" spans="1:5" ht="19.5">
      <c r="A37" s="3158"/>
      <c r="B37" s="1455" t="s">
        <v>1671</v>
      </c>
      <c r="C37" s="1455" t="s">
        <v>1672</v>
      </c>
      <c r="D37" s="1467" t="s">
        <v>1673</v>
      </c>
      <c r="E37" s="1458" t="s">
        <v>1674</v>
      </c>
    </row>
    <row r="38" spans="1:5" ht="19.5">
      <c r="A38" s="3159"/>
      <c r="B38" s="1455" t="s">
        <v>1675</v>
      </c>
      <c r="C38" s="1455" t="s">
        <v>1676</v>
      </c>
      <c r="D38" s="1459" t="s">
        <v>1677</v>
      </c>
      <c r="E38" s="1458" t="s">
        <v>1678</v>
      </c>
    </row>
    <row r="39" spans="1:5" ht="19.5">
      <c r="A39" s="2526" t="s">
        <v>82</v>
      </c>
      <c r="B39" s="1455" t="s">
        <v>1679</v>
      </c>
      <c r="C39" s="1455" t="s">
        <v>1680</v>
      </c>
      <c r="D39" s="1459">
        <v>1783</v>
      </c>
      <c r="E39" s="1460" t="s">
        <v>1681</v>
      </c>
    </row>
    <row r="40" spans="1:5" ht="19.5">
      <c r="A40" s="3155" t="s">
        <v>84</v>
      </c>
      <c r="B40" s="1461" t="s">
        <v>1535</v>
      </c>
      <c r="C40" s="1461" t="s">
        <v>1682</v>
      </c>
      <c r="D40" s="1462">
        <v>1900</v>
      </c>
      <c r="E40" s="1468" t="s">
        <v>1597</v>
      </c>
    </row>
    <row r="41" spans="1:5" ht="19.5">
      <c r="A41" s="3155"/>
      <c r="B41" s="1461" t="s">
        <v>1683</v>
      </c>
      <c r="C41" s="1461" t="s">
        <v>1684</v>
      </c>
      <c r="D41" s="1462">
        <v>1550</v>
      </c>
      <c r="E41" s="1468" t="s">
        <v>1597</v>
      </c>
    </row>
    <row r="42" spans="1:5" ht="19.5">
      <c r="A42" s="2525" t="s">
        <v>83</v>
      </c>
      <c r="B42" s="1461" t="s">
        <v>1685</v>
      </c>
      <c r="C42" s="1461" t="s">
        <v>1686</v>
      </c>
      <c r="D42" s="1462">
        <v>2032</v>
      </c>
      <c r="E42" s="1468" t="s">
        <v>1687</v>
      </c>
    </row>
    <row r="43" spans="1:5" ht="19.5">
      <c r="A43" s="2525" t="s">
        <v>403</v>
      </c>
      <c r="B43" s="1469" t="s">
        <v>1688</v>
      </c>
      <c r="C43" s="1469" t="s">
        <v>1689</v>
      </c>
      <c r="D43" s="1469">
        <v>2236</v>
      </c>
      <c r="E43" s="1468" t="s">
        <v>1690</v>
      </c>
    </row>
    <row r="44" spans="1:5" ht="19.5">
      <c r="A44" s="2525" t="s">
        <v>88</v>
      </c>
      <c r="B44" s="1469" t="s">
        <v>1691</v>
      </c>
      <c r="C44" s="1469" t="s">
        <v>1692</v>
      </c>
      <c r="D44" s="1469">
        <v>1793</v>
      </c>
      <c r="E44" s="1468" t="s">
        <v>1643</v>
      </c>
    </row>
    <row r="45" spans="1:5" ht="20.25" thickBot="1">
      <c r="A45" s="1470" t="s">
        <v>85</v>
      </c>
      <c r="B45" s="1471" t="s">
        <v>1693</v>
      </c>
      <c r="C45" s="1471" t="s">
        <v>1694</v>
      </c>
      <c r="D45" s="1471">
        <v>2550</v>
      </c>
      <c r="E45" s="1472" t="s">
        <v>1695</v>
      </c>
    </row>
    <row r="46" spans="1:5" s="696" customFormat="1">
      <c r="A46" s="696" t="s">
        <v>917</v>
      </c>
    </row>
  </sheetData>
  <mergeCells count="12">
    <mergeCell ref="A40:A41"/>
    <mergeCell ref="A1:E1"/>
    <mergeCell ref="G2:J2"/>
    <mergeCell ref="A3:A5"/>
    <mergeCell ref="A9:A12"/>
    <mergeCell ref="A16:A17"/>
    <mergeCell ref="A18:A23"/>
    <mergeCell ref="A24:A25"/>
    <mergeCell ref="A26:A27"/>
    <mergeCell ref="A28:A32"/>
    <mergeCell ref="A33:A34"/>
    <mergeCell ref="A35:A3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7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M29"/>
  <sheetViews>
    <sheetView showGridLines="0" rightToLeft="1" zoomScale="85" zoomScaleNormal="85" workbookViewId="0">
      <selection sqref="A1:K27"/>
    </sheetView>
  </sheetViews>
  <sheetFormatPr defaultColWidth="9.125" defaultRowHeight="12.75"/>
  <cols>
    <col min="1" max="1" width="10.625" style="696" bestFit="1" customWidth="1"/>
    <col min="2" max="2" width="10.25" style="696" bestFit="1" customWidth="1"/>
    <col min="3" max="3" width="8.125" style="696" bestFit="1" customWidth="1"/>
    <col min="4" max="4" width="12.375" style="696" bestFit="1" customWidth="1"/>
    <col min="5" max="5" width="8.125" style="696" bestFit="1" customWidth="1"/>
    <col min="6" max="6" width="9.125" style="696" bestFit="1" customWidth="1"/>
    <col min="7" max="9" width="8.125" style="696" bestFit="1" customWidth="1"/>
    <col min="10" max="10" width="13.125" style="696" bestFit="1" customWidth="1"/>
    <col min="11" max="11" width="6.125" style="696" bestFit="1" customWidth="1"/>
    <col min="12" max="16384" width="9.125" style="696"/>
  </cols>
  <sheetData>
    <row r="1" spans="1:13" ht="24.75" thickBot="1">
      <c r="A1" s="3099" t="s">
        <v>1696</v>
      </c>
      <c r="B1" s="3099"/>
      <c r="C1" s="3099"/>
      <c r="D1" s="3099"/>
      <c r="E1" s="3099"/>
      <c r="F1" s="3099"/>
      <c r="G1" s="3099"/>
      <c r="H1" s="3099"/>
      <c r="I1" s="3099"/>
      <c r="J1" s="3103"/>
      <c r="K1" s="3103"/>
    </row>
    <row r="2" spans="1:13" ht="16.5" customHeight="1" thickTop="1">
      <c r="A2" s="3161" t="s">
        <v>830</v>
      </c>
      <c r="B2" s="3164" t="s">
        <v>1697</v>
      </c>
      <c r="C2" s="3165"/>
      <c r="D2" s="3165"/>
      <c r="E2" s="3166"/>
      <c r="F2" s="3164" t="s">
        <v>1698</v>
      </c>
      <c r="G2" s="3165"/>
      <c r="H2" s="3165"/>
      <c r="I2" s="3166"/>
      <c r="J2" s="3167" t="s">
        <v>49</v>
      </c>
      <c r="K2" s="3168"/>
    </row>
    <row r="3" spans="1:13" ht="16.5" customHeight="1">
      <c r="A3" s="3162"/>
      <c r="B3" s="3171" t="s">
        <v>1699</v>
      </c>
      <c r="C3" s="3172"/>
      <c r="D3" s="3173" t="s">
        <v>1700</v>
      </c>
      <c r="E3" s="3174"/>
      <c r="F3" s="3171" t="s">
        <v>1699</v>
      </c>
      <c r="G3" s="3172"/>
      <c r="H3" s="3173" t="s">
        <v>1701</v>
      </c>
      <c r="I3" s="3174"/>
      <c r="J3" s="3169"/>
      <c r="K3" s="3170"/>
    </row>
    <row r="4" spans="1:13" ht="16.5" customHeight="1" thickBot="1">
      <c r="A4" s="3163"/>
      <c r="B4" s="1473" t="s">
        <v>1702</v>
      </c>
      <c r="C4" s="1474" t="s">
        <v>990</v>
      </c>
      <c r="D4" s="1474" t="s">
        <v>1702</v>
      </c>
      <c r="E4" s="1475" t="s">
        <v>990</v>
      </c>
      <c r="F4" s="1473" t="s">
        <v>1702</v>
      </c>
      <c r="G4" s="1474" t="s">
        <v>990</v>
      </c>
      <c r="H4" s="1474" t="s">
        <v>1702</v>
      </c>
      <c r="I4" s="1475" t="s">
        <v>990</v>
      </c>
      <c r="J4" s="1473" t="s">
        <v>1702</v>
      </c>
      <c r="K4" s="1475" t="s">
        <v>990</v>
      </c>
    </row>
    <row r="5" spans="1:13" ht="21.75" thickTop="1">
      <c r="A5" s="1476" t="s">
        <v>69</v>
      </c>
      <c r="B5" s="1477">
        <v>29360.7</v>
      </c>
      <c r="C5" s="1478">
        <v>91</v>
      </c>
      <c r="D5" s="1478">
        <v>0</v>
      </c>
      <c r="E5" s="1478">
        <v>0</v>
      </c>
      <c r="F5" s="1478">
        <v>131</v>
      </c>
      <c r="G5" s="1478">
        <v>5</v>
      </c>
      <c r="H5" s="1479">
        <v>0</v>
      </c>
      <c r="I5" s="1480"/>
      <c r="J5" s="1481">
        <f t="shared" ref="J5:K25" si="0">+H5+F5+D5+B5</f>
        <v>29491.7</v>
      </c>
      <c r="K5" s="1482">
        <f t="shared" si="0"/>
        <v>96</v>
      </c>
      <c r="L5" s="1483"/>
      <c r="M5" s="1483"/>
    </row>
    <row r="6" spans="1:13" ht="21">
      <c r="A6" s="1484" t="s">
        <v>71</v>
      </c>
      <c r="B6" s="1477">
        <v>0</v>
      </c>
      <c r="C6" s="1478"/>
      <c r="D6" s="1478">
        <v>8000</v>
      </c>
      <c r="E6" s="1478">
        <v>1</v>
      </c>
      <c r="F6" s="1478">
        <v>0</v>
      </c>
      <c r="G6" s="1478">
        <v>0</v>
      </c>
      <c r="H6" s="1485">
        <v>0</v>
      </c>
      <c r="I6" s="1486"/>
      <c r="J6" s="1487">
        <f t="shared" si="0"/>
        <v>8000</v>
      </c>
      <c r="K6" s="1488">
        <f t="shared" si="0"/>
        <v>1</v>
      </c>
      <c r="L6" s="1483"/>
      <c r="M6" s="1483"/>
    </row>
    <row r="7" spans="1:13" ht="21">
      <c r="A7" s="1489" t="s">
        <v>86</v>
      </c>
      <c r="B7" s="1477">
        <v>27767</v>
      </c>
      <c r="C7" s="1478">
        <v>47</v>
      </c>
      <c r="D7" s="1478">
        <v>0</v>
      </c>
      <c r="E7" s="1478">
        <v>0</v>
      </c>
      <c r="F7" s="1478">
        <v>150</v>
      </c>
      <c r="G7" s="1478">
        <v>9</v>
      </c>
      <c r="H7" s="1485">
        <v>0</v>
      </c>
      <c r="I7" s="1486"/>
      <c r="J7" s="1487">
        <f t="shared" si="0"/>
        <v>27917</v>
      </c>
      <c r="K7" s="1488">
        <f t="shared" si="0"/>
        <v>56</v>
      </c>
      <c r="L7" s="1483"/>
      <c r="M7" s="1483"/>
    </row>
    <row r="8" spans="1:13" ht="21">
      <c r="A8" s="1489" t="s">
        <v>70</v>
      </c>
      <c r="B8" s="1478">
        <v>5483.83</v>
      </c>
      <c r="C8" s="1478">
        <v>22</v>
      </c>
      <c r="D8" s="1478">
        <v>0</v>
      </c>
      <c r="E8" s="1478">
        <v>0</v>
      </c>
      <c r="F8" s="1478">
        <v>0</v>
      </c>
      <c r="G8" s="1478">
        <v>0</v>
      </c>
      <c r="H8" s="1485">
        <v>0</v>
      </c>
      <c r="I8" s="1486"/>
      <c r="J8" s="1487">
        <f t="shared" si="0"/>
        <v>5483.83</v>
      </c>
      <c r="K8" s="1488">
        <f t="shared" si="0"/>
        <v>22</v>
      </c>
      <c r="L8" s="1483"/>
      <c r="M8" s="1483"/>
    </row>
    <row r="9" spans="1:13" ht="21">
      <c r="A9" s="1489" t="s">
        <v>72</v>
      </c>
      <c r="B9" s="1477">
        <v>24249</v>
      </c>
      <c r="C9" s="1478">
        <v>93</v>
      </c>
      <c r="D9" s="1478"/>
      <c r="E9" s="1478"/>
      <c r="F9" s="1478">
        <v>91</v>
      </c>
      <c r="G9" s="1478">
        <v>2</v>
      </c>
      <c r="H9" s="1485">
        <v>0</v>
      </c>
      <c r="I9" s="1486"/>
      <c r="J9" s="1487">
        <f t="shared" si="0"/>
        <v>24340</v>
      </c>
      <c r="K9" s="1488">
        <f t="shared" si="0"/>
        <v>95</v>
      </c>
      <c r="L9" s="1483"/>
      <c r="M9" s="1483"/>
    </row>
    <row r="10" spans="1:13" ht="21">
      <c r="A10" s="1489" t="s">
        <v>450</v>
      </c>
      <c r="B10" s="1477">
        <v>0</v>
      </c>
      <c r="C10" s="1478">
        <v>0</v>
      </c>
      <c r="D10" s="1478">
        <v>0</v>
      </c>
      <c r="E10" s="1478">
        <v>0</v>
      </c>
      <c r="F10" s="1478">
        <v>0</v>
      </c>
      <c r="G10" s="1478">
        <v>0</v>
      </c>
      <c r="H10" s="1485">
        <v>0</v>
      </c>
      <c r="I10" s="1486"/>
      <c r="J10" s="1487">
        <f t="shared" si="0"/>
        <v>0</v>
      </c>
      <c r="K10" s="1488">
        <f t="shared" si="0"/>
        <v>0</v>
      </c>
      <c r="L10" s="1483"/>
      <c r="M10" s="1483"/>
    </row>
    <row r="11" spans="1:13" ht="21">
      <c r="A11" s="1489" t="s">
        <v>87</v>
      </c>
      <c r="B11" s="1477">
        <v>0</v>
      </c>
      <c r="C11" s="1478">
        <v>0</v>
      </c>
      <c r="D11" s="1478">
        <v>400</v>
      </c>
      <c r="E11" s="1478">
        <v>1</v>
      </c>
      <c r="F11" s="1478">
        <v>0</v>
      </c>
      <c r="G11" s="1478">
        <v>0</v>
      </c>
      <c r="H11" s="1485">
        <v>0</v>
      </c>
      <c r="I11" s="1486"/>
      <c r="J11" s="1487">
        <f t="shared" si="0"/>
        <v>400</v>
      </c>
      <c r="K11" s="1488">
        <f t="shared" si="0"/>
        <v>1</v>
      </c>
      <c r="L11" s="1483"/>
      <c r="M11" s="1483"/>
    </row>
    <row r="12" spans="1:13" ht="21">
      <c r="A12" s="1489" t="s">
        <v>76</v>
      </c>
      <c r="B12" s="1478">
        <v>5920</v>
      </c>
      <c r="C12" s="1478">
        <v>3</v>
      </c>
      <c r="D12" s="1478">
        <v>0</v>
      </c>
      <c r="E12" s="1478">
        <v>0</v>
      </c>
      <c r="F12" s="1478">
        <v>0</v>
      </c>
      <c r="G12" s="1478">
        <v>0</v>
      </c>
      <c r="H12" s="1485">
        <v>0</v>
      </c>
      <c r="I12" s="1486"/>
      <c r="J12" s="1487">
        <f t="shared" si="0"/>
        <v>5920</v>
      </c>
      <c r="K12" s="1488">
        <f t="shared" si="0"/>
        <v>3</v>
      </c>
      <c r="L12" s="1483"/>
      <c r="M12" s="1483"/>
    </row>
    <row r="13" spans="1:13" ht="21">
      <c r="A13" s="1489" t="s">
        <v>77</v>
      </c>
      <c r="B13" s="1478">
        <v>1179</v>
      </c>
      <c r="C13" s="1478">
        <v>3</v>
      </c>
      <c r="D13" s="1478">
        <v>3216</v>
      </c>
      <c r="E13" s="1478">
        <v>6</v>
      </c>
      <c r="F13" s="1478">
        <v>3304</v>
      </c>
      <c r="G13" s="1478">
        <v>22</v>
      </c>
      <c r="H13" s="1485">
        <v>0</v>
      </c>
      <c r="I13" s="1486"/>
      <c r="J13" s="1487">
        <f t="shared" si="0"/>
        <v>7699</v>
      </c>
      <c r="K13" s="1488">
        <f t="shared" si="0"/>
        <v>31</v>
      </c>
      <c r="L13" s="1483"/>
      <c r="M13" s="1483"/>
    </row>
    <row r="14" spans="1:13" ht="21">
      <c r="A14" s="1489" t="s">
        <v>403</v>
      </c>
      <c r="B14" s="1478">
        <v>0</v>
      </c>
      <c r="C14" s="1478">
        <v>0</v>
      </c>
      <c r="D14" s="1478">
        <v>0</v>
      </c>
      <c r="E14" s="1478">
        <v>0</v>
      </c>
      <c r="F14" s="1478">
        <v>0</v>
      </c>
      <c r="G14" s="1478">
        <v>0</v>
      </c>
      <c r="H14" s="1485">
        <v>0</v>
      </c>
      <c r="I14" s="1486"/>
      <c r="J14" s="1487">
        <f t="shared" si="0"/>
        <v>0</v>
      </c>
      <c r="K14" s="1488">
        <f t="shared" si="0"/>
        <v>0</v>
      </c>
      <c r="L14" s="1483"/>
      <c r="M14" s="1483"/>
    </row>
    <row r="15" spans="1:13" ht="21">
      <c r="A15" s="1489" t="s">
        <v>80</v>
      </c>
      <c r="B15" s="1478">
        <v>0</v>
      </c>
      <c r="C15" s="1478">
        <v>0</v>
      </c>
      <c r="D15" s="1478">
        <v>812</v>
      </c>
      <c r="E15" s="1478">
        <v>1</v>
      </c>
      <c r="F15" s="1478">
        <v>0</v>
      </c>
      <c r="G15" s="1478">
        <v>0</v>
      </c>
      <c r="H15" s="1485">
        <v>0</v>
      </c>
      <c r="I15" s="1486"/>
      <c r="J15" s="1487">
        <f t="shared" si="0"/>
        <v>812</v>
      </c>
      <c r="K15" s="1488">
        <f t="shared" si="0"/>
        <v>1</v>
      </c>
      <c r="L15" s="1483"/>
      <c r="M15" s="1483"/>
    </row>
    <row r="16" spans="1:13" ht="21">
      <c r="A16" s="1489" t="s">
        <v>78</v>
      </c>
      <c r="B16" s="1477">
        <v>27352.799999999999</v>
      </c>
      <c r="C16" s="1478">
        <v>78</v>
      </c>
      <c r="D16" s="1478">
        <v>0</v>
      </c>
      <c r="E16" s="1478">
        <v>0</v>
      </c>
      <c r="F16" s="1478">
        <v>3184</v>
      </c>
      <c r="G16" s="1478">
        <v>19</v>
      </c>
      <c r="H16" s="1485">
        <v>0</v>
      </c>
      <c r="I16" s="1486"/>
      <c r="J16" s="1487">
        <f t="shared" si="0"/>
        <v>30536.799999999999</v>
      </c>
      <c r="K16" s="1488">
        <f t="shared" si="0"/>
        <v>97</v>
      </c>
      <c r="L16" s="1483"/>
      <c r="M16" s="1483"/>
    </row>
    <row r="17" spans="1:13" ht="21">
      <c r="A17" s="1489" t="s">
        <v>79</v>
      </c>
      <c r="B17" s="1478">
        <v>172</v>
      </c>
      <c r="C17" s="1478">
        <v>1</v>
      </c>
      <c r="D17" s="1478">
        <v>1189</v>
      </c>
      <c r="E17" s="1478">
        <v>3</v>
      </c>
      <c r="F17" s="1478">
        <v>0</v>
      </c>
      <c r="G17" s="1478">
        <v>0</v>
      </c>
      <c r="H17" s="1485">
        <v>0</v>
      </c>
      <c r="I17" s="1486"/>
      <c r="J17" s="1487">
        <f t="shared" si="0"/>
        <v>1361</v>
      </c>
      <c r="K17" s="1488">
        <f t="shared" si="0"/>
        <v>4</v>
      </c>
      <c r="L17" s="1483"/>
      <c r="M17" s="1483"/>
    </row>
    <row r="18" spans="1:13" ht="21">
      <c r="A18" s="1489" t="s">
        <v>83</v>
      </c>
      <c r="B18" s="1478">
        <v>2150</v>
      </c>
      <c r="C18" s="1478">
        <v>5</v>
      </c>
      <c r="D18" s="1478">
        <v>16064</v>
      </c>
      <c r="E18" s="1478">
        <v>25</v>
      </c>
      <c r="F18" s="1478">
        <v>0</v>
      </c>
      <c r="G18" s="1478">
        <v>0</v>
      </c>
      <c r="H18" s="1485">
        <v>0</v>
      </c>
      <c r="I18" s="1486"/>
      <c r="J18" s="1487">
        <f t="shared" si="0"/>
        <v>18214</v>
      </c>
      <c r="K18" s="1488">
        <f t="shared" si="0"/>
        <v>30</v>
      </c>
      <c r="L18" s="1483"/>
      <c r="M18" s="1483"/>
    </row>
    <row r="19" spans="1:13" ht="21">
      <c r="A19" s="1489" t="s">
        <v>85</v>
      </c>
      <c r="B19" s="1478">
        <v>11534</v>
      </c>
      <c r="C19" s="1478">
        <v>17</v>
      </c>
      <c r="D19" s="1478">
        <v>3068</v>
      </c>
      <c r="E19" s="1478">
        <v>4</v>
      </c>
      <c r="F19" s="1478">
        <v>629</v>
      </c>
      <c r="G19" s="1478">
        <v>3</v>
      </c>
      <c r="H19" s="1490">
        <v>0</v>
      </c>
      <c r="I19" s="1491"/>
      <c r="J19" s="1487">
        <f t="shared" si="0"/>
        <v>15231</v>
      </c>
      <c r="K19" s="1488">
        <f t="shared" si="0"/>
        <v>24</v>
      </c>
      <c r="L19" s="1483"/>
      <c r="M19" s="1483"/>
    </row>
    <row r="20" spans="1:13" ht="21">
      <c r="A20" s="1489" t="s">
        <v>68</v>
      </c>
      <c r="B20" s="1478">
        <v>0</v>
      </c>
      <c r="C20" s="1478">
        <v>0</v>
      </c>
      <c r="D20" s="1478">
        <v>0</v>
      </c>
      <c r="E20" s="1478">
        <v>0</v>
      </c>
      <c r="F20" s="1478">
        <v>0</v>
      </c>
      <c r="G20" s="1478">
        <v>0</v>
      </c>
      <c r="H20" s="1485">
        <v>0</v>
      </c>
      <c r="I20" s="1486"/>
      <c r="J20" s="1487">
        <f t="shared" si="0"/>
        <v>0</v>
      </c>
      <c r="K20" s="1488">
        <f t="shared" si="0"/>
        <v>0</v>
      </c>
      <c r="L20" s="1483"/>
      <c r="M20" s="1483"/>
    </row>
    <row r="21" spans="1:13" ht="21">
      <c r="A21" s="1489" t="s">
        <v>82</v>
      </c>
      <c r="B21" s="1478">
        <v>5598</v>
      </c>
      <c r="C21" s="1478">
        <v>17</v>
      </c>
      <c r="D21" s="1478">
        <v>0</v>
      </c>
      <c r="E21" s="1478">
        <v>0</v>
      </c>
      <c r="F21" s="1478">
        <v>238</v>
      </c>
      <c r="G21" s="1478">
        <v>3</v>
      </c>
      <c r="H21" s="1485">
        <v>0</v>
      </c>
      <c r="I21" s="1486"/>
      <c r="J21" s="1487">
        <f t="shared" si="0"/>
        <v>5836</v>
      </c>
      <c r="K21" s="1488">
        <f t="shared" si="0"/>
        <v>20</v>
      </c>
      <c r="L21" s="1483"/>
      <c r="M21" s="1483"/>
    </row>
    <row r="22" spans="1:13" ht="21">
      <c r="A22" s="1489" t="s">
        <v>84</v>
      </c>
      <c r="B22" s="1492">
        <v>5400</v>
      </c>
      <c r="C22" s="1492">
        <v>2</v>
      </c>
      <c r="D22" s="1492">
        <v>0</v>
      </c>
      <c r="E22" s="1492">
        <v>0</v>
      </c>
      <c r="F22" s="1492">
        <v>4844</v>
      </c>
      <c r="G22" s="1492">
        <v>25</v>
      </c>
      <c r="H22" s="1485">
        <v>0</v>
      </c>
      <c r="I22" s="1486"/>
      <c r="J22" s="1487">
        <f t="shared" si="0"/>
        <v>10244</v>
      </c>
      <c r="K22" s="1488">
        <f t="shared" si="0"/>
        <v>27</v>
      </c>
      <c r="L22" s="1483"/>
      <c r="M22" s="1483"/>
    </row>
    <row r="23" spans="1:13" ht="21">
      <c r="A23" s="1493" t="s">
        <v>73</v>
      </c>
      <c r="B23" s="1492">
        <v>10073.299999999999</v>
      </c>
      <c r="C23" s="1492">
        <v>20</v>
      </c>
      <c r="D23" s="1492">
        <v>14458.300000000001</v>
      </c>
      <c r="E23" s="1492">
        <v>33</v>
      </c>
      <c r="F23" s="1492"/>
      <c r="G23" s="1492"/>
      <c r="H23" s="1494">
        <v>0</v>
      </c>
      <c r="I23" s="1495"/>
      <c r="J23" s="1487">
        <f t="shared" si="0"/>
        <v>24531.599999999999</v>
      </c>
      <c r="K23" s="1488">
        <f t="shared" si="0"/>
        <v>53</v>
      </c>
      <c r="L23" s="1483"/>
      <c r="M23" s="1483"/>
    </row>
    <row r="24" spans="1:13" ht="21">
      <c r="A24" s="1496" t="s">
        <v>88</v>
      </c>
      <c r="B24" s="1492">
        <v>0</v>
      </c>
      <c r="C24" s="1492">
        <v>0</v>
      </c>
      <c r="D24" s="1492">
        <v>0</v>
      </c>
      <c r="E24" s="1492">
        <v>0</v>
      </c>
      <c r="F24" s="1492">
        <v>0</v>
      </c>
      <c r="G24" s="1492">
        <v>0</v>
      </c>
      <c r="H24" s="1497">
        <v>0</v>
      </c>
      <c r="I24" s="1498"/>
      <c r="J24" s="1487">
        <f t="shared" si="0"/>
        <v>0</v>
      </c>
      <c r="K24" s="1488">
        <f t="shared" si="0"/>
        <v>0</v>
      </c>
      <c r="L24" s="1483"/>
      <c r="M24" s="1483"/>
    </row>
    <row r="25" spans="1:13" ht="21.75" thickBot="1">
      <c r="A25" s="1496" t="s">
        <v>1102</v>
      </c>
      <c r="B25" s="1492">
        <v>0</v>
      </c>
      <c r="C25" s="1492">
        <v>0</v>
      </c>
      <c r="D25" s="1492">
        <v>0</v>
      </c>
      <c r="E25" s="1492">
        <v>0</v>
      </c>
      <c r="F25" s="1492">
        <v>0</v>
      </c>
      <c r="G25" s="1492">
        <v>0</v>
      </c>
      <c r="H25" s="1497"/>
      <c r="I25" s="1498"/>
      <c r="J25" s="1487">
        <f t="shared" si="0"/>
        <v>0</v>
      </c>
      <c r="K25" s="1488">
        <f t="shared" si="0"/>
        <v>0</v>
      </c>
      <c r="L25" s="1483"/>
      <c r="M25" s="1483"/>
    </row>
    <row r="26" spans="1:13" ht="30.75" thickTop="1" thickBot="1">
      <c r="A26" s="1499" t="s">
        <v>387</v>
      </c>
      <c r="B26" s="1500">
        <f t="shared" ref="B26:I26" si="1">SUM(B5:B24)</f>
        <v>156239.63</v>
      </c>
      <c r="C26" s="1501">
        <f t="shared" si="1"/>
        <v>399</v>
      </c>
      <c r="D26" s="1502">
        <f t="shared" si="1"/>
        <v>47207.3</v>
      </c>
      <c r="E26" s="1503">
        <f t="shared" si="1"/>
        <v>74</v>
      </c>
      <c r="F26" s="1504">
        <f t="shared" si="1"/>
        <v>12571</v>
      </c>
      <c r="G26" s="1501">
        <f t="shared" si="1"/>
        <v>88</v>
      </c>
      <c r="H26" s="1501">
        <f t="shared" si="1"/>
        <v>0</v>
      </c>
      <c r="I26" s="1503">
        <f t="shared" si="1"/>
        <v>0</v>
      </c>
      <c r="J26" s="1505">
        <f>SUM(J5:J25)</f>
        <v>216017.93</v>
      </c>
      <c r="K26" s="1506">
        <f>SUM(K5:K25)</f>
        <v>561</v>
      </c>
      <c r="L26" s="1483"/>
      <c r="M26" s="1483"/>
    </row>
    <row r="27" spans="1:13" ht="15.75" thickTop="1">
      <c r="A27" s="1507" t="s">
        <v>1437</v>
      </c>
      <c r="B27" s="1507"/>
    </row>
    <row r="29" spans="1:13">
      <c r="E29" s="1483"/>
    </row>
  </sheetData>
  <mergeCells count="9">
    <mergeCell ref="A1:K1"/>
    <mergeCell ref="A2:A4"/>
    <mergeCell ref="B2:E2"/>
    <mergeCell ref="F2:I2"/>
    <mergeCell ref="J2:K3"/>
    <mergeCell ref="B3:C3"/>
    <mergeCell ref="D3:E3"/>
    <mergeCell ref="F3:G3"/>
    <mergeCell ref="H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</sheetPr>
  <dimension ref="A1:T36"/>
  <sheetViews>
    <sheetView showGridLines="0" rightToLeft="1" zoomScale="72" zoomScaleNormal="72" workbookViewId="0">
      <selection activeCell="A35" sqref="A1:S35"/>
    </sheetView>
  </sheetViews>
  <sheetFormatPr defaultColWidth="8" defaultRowHeight="12.75"/>
  <cols>
    <col min="1" max="1" width="6" style="696" customWidth="1"/>
    <col min="2" max="2" width="18.875" style="696" customWidth="1"/>
    <col min="3" max="17" width="8" style="696"/>
    <col min="18" max="18" width="13" style="696" customWidth="1"/>
    <col min="19" max="19" width="10.25" style="696" customWidth="1"/>
    <col min="20" max="16384" width="8" style="696"/>
  </cols>
  <sheetData>
    <row r="1" spans="1:19" ht="39.75" customHeight="1" thickBot="1">
      <c r="A1" s="3175" t="s">
        <v>941</v>
      </c>
      <c r="B1" s="3175"/>
      <c r="C1" s="3175"/>
      <c r="D1" s="3175"/>
      <c r="E1" s="3175"/>
      <c r="F1" s="3175"/>
      <c r="G1" s="3175"/>
      <c r="H1" s="3175"/>
      <c r="I1" s="3175"/>
      <c r="J1" s="3175"/>
      <c r="K1" s="3175"/>
      <c r="L1" s="3175"/>
      <c r="M1" s="3175"/>
      <c r="N1" s="3175"/>
      <c r="O1" s="3175"/>
      <c r="P1" s="3175"/>
      <c r="Q1" s="3175"/>
      <c r="R1" s="3175"/>
      <c r="S1" s="3175"/>
    </row>
    <row r="2" spans="1:19" ht="20.25">
      <c r="A2" s="3176" t="s">
        <v>339</v>
      </c>
      <c r="B2" s="3179" t="s">
        <v>830</v>
      </c>
      <c r="C2" s="3182" t="s">
        <v>940</v>
      </c>
      <c r="D2" s="3183"/>
      <c r="E2" s="3183"/>
      <c r="F2" s="3186" t="s">
        <v>939</v>
      </c>
      <c r="G2" s="3187"/>
      <c r="H2" s="3187"/>
      <c r="I2" s="3187"/>
      <c r="J2" s="3187"/>
      <c r="K2" s="3188"/>
      <c r="L2" s="3186" t="s">
        <v>938</v>
      </c>
      <c r="M2" s="3187"/>
      <c r="N2" s="3187"/>
      <c r="O2" s="3187"/>
      <c r="P2" s="3187"/>
      <c r="Q2" s="3188"/>
      <c r="R2" s="3182" t="s">
        <v>937</v>
      </c>
      <c r="S2" s="3191" t="s">
        <v>281</v>
      </c>
    </row>
    <row r="3" spans="1:19" ht="20.25">
      <c r="A3" s="3177"/>
      <c r="B3" s="3180"/>
      <c r="C3" s="3184"/>
      <c r="D3" s="3185"/>
      <c r="E3" s="3185"/>
      <c r="F3" s="3194" t="s">
        <v>936</v>
      </c>
      <c r="G3" s="3195"/>
      <c r="H3" s="3196"/>
      <c r="I3" s="3194" t="s">
        <v>935</v>
      </c>
      <c r="J3" s="3195"/>
      <c r="K3" s="3196"/>
      <c r="L3" s="3197" t="s">
        <v>936</v>
      </c>
      <c r="M3" s="3198"/>
      <c r="N3" s="3199"/>
      <c r="O3" s="3194" t="s">
        <v>935</v>
      </c>
      <c r="P3" s="3195"/>
      <c r="Q3" s="3196"/>
      <c r="R3" s="3189"/>
      <c r="S3" s="3192"/>
    </row>
    <row r="4" spans="1:19">
      <c r="A4" s="3177"/>
      <c r="B4" s="3180"/>
      <c r="C4" s="3200" t="s">
        <v>934</v>
      </c>
      <c r="D4" s="3202" t="s">
        <v>933</v>
      </c>
      <c r="E4" s="3204" t="s">
        <v>932</v>
      </c>
      <c r="F4" s="3206" t="s">
        <v>931</v>
      </c>
      <c r="G4" s="3208" t="s">
        <v>930</v>
      </c>
      <c r="H4" s="3210" t="s">
        <v>929</v>
      </c>
      <c r="I4" s="3206" t="s">
        <v>931</v>
      </c>
      <c r="J4" s="3206" t="s">
        <v>930</v>
      </c>
      <c r="K4" s="3210" t="s">
        <v>929</v>
      </c>
      <c r="L4" s="3208" t="s">
        <v>931</v>
      </c>
      <c r="M4" s="3202" t="s">
        <v>930</v>
      </c>
      <c r="N4" s="3210" t="s">
        <v>929</v>
      </c>
      <c r="O4" s="3208" t="s">
        <v>931</v>
      </c>
      <c r="P4" s="3202" t="s">
        <v>930</v>
      </c>
      <c r="Q4" s="3210" t="s">
        <v>929</v>
      </c>
      <c r="R4" s="3189"/>
      <c r="S4" s="3192"/>
    </row>
    <row r="5" spans="1:19" ht="33" customHeight="1" thickBot="1">
      <c r="A5" s="3178"/>
      <c r="B5" s="3181"/>
      <c r="C5" s="3201"/>
      <c r="D5" s="3203"/>
      <c r="E5" s="3205"/>
      <c r="F5" s="3207"/>
      <c r="G5" s="3209"/>
      <c r="H5" s="3205"/>
      <c r="I5" s="3207"/>
      <c r="J5" s="3207"/>
      <c r="K5" s="3205"/>
      <c r="L5" s="3209"/>
      <c r="M5" s="3203"/>
      <c r="N5" s="3205"/>
      <c r="O5" s="3209"/>
      <c r="P5" s="3203"/>
      <c r="Q5" s="3205"/>
      <c r="R5" s="3190"/>
      <c r="S5" s="3193"/>
    </row>
    <row r="6" spans="1:19" ht="19.5" customHeight="1" thickBot="1">
      <c r="A6" s="722">
        <v>1</v>
      </c>
      <c r="B6" s="739" t="s">
        <v>68</v>
      </c>
      <c r="C6" s="738"/>
      <c r="D6" s="737"/>
      <c r="E6" s="735"/>
      <c r="F6" s="737"/>
      <c r="G6" s="736"/>
      <c r="H6" s="735"/>
      <c r="I6" s="737"/>
      <c r="J6" s="736"/>
      <c r="K6" s="735"/>
      <c r="L6" s="737"/>
      <c r="M6" s="736"/>
      <c r="N6" s="735"/>
      <c r="O6" s="737"/>
      <c r="P6" s="736"/>
      <c r="Q6" s="735"/>
      <c r="R6" s="734"/>
      <c r="S6" s="714">
        <f>SUM(F6:R6)</f>
        <v>0</v>
      </c>
    </row>
    <row r="7" spans="1:19" ht="19.5" customHeight="1" thickBot="1">
      <c r="A7" s="713">
        <v>2</v>
      </c>
      <c r="B7" s="721" t="s">
        <v>69</v>
      </c>
      <c r="C7" s="720"/>
      <c r="D7" s="718"/>
      <c r="E7" s="716"/>
      <c r="F7" s="718"/>
      <c r="G7" s="717"/>
      <c r="H7" s="716"/>
      <c r="I7" s="718"/>
      <c r="J7" s="717"/>
      <c r="K7" s="716"/>
      <c r="L7" s="718"/>
      <c r="M7" s="717"/>
      <c r="N7" s="716"/>
      <c r="O7" s="718"/>
      <c r="P7" s="717"/>
      <c r="Q7" s="716"/>
      <c r="R7" s="733"/>
      <c r="S7" s="714">
        <f>SUM(F7:R7)</f>
        <v>0</v>
      </c>
    </row>
    <row r="8" spans="1:19" ht="19.5" customHeight="1" thickBot="1">
      <c r="A8" s="713">
        <v>3</v>
      </c>
      <c r="B8" s="723" t="s">
        <v>86</v>
      </c>
      <c r="C8" s="727"/>
      <c r="D8" s="725"/>
      <c r="E8" s="726"/>
      <c r="F8" s="725"/>
      <c r="G8" s="702"/>
      <c r="H8" s="726"/>
      <c r="I8" s="725"/>
      <c r="J8" s="702"/>
      <c r="K8" s="726"/>
      <c r="L8" s="725"/>
      <c r="M8" s="702"/>
      <c r="N8" s="726"/>
      <c r="O8" s="725"/>
      <c r="P8" s="702"/>
      <c r="Q8" s="726"/>
      <c r="R8" s="732"/>
      <c r="S8" s="714">
        <f t="shared" ref="S8:S25" si="0">SUM(F8:R8)</f>
        <v>0</v>
      </c>
    </row>
    <row r="9" spans="1:19" ht="19.5" customHeight="1" thickBot="1">
      <c r="A9" s="713">
        <v>4</v>
      </c>
      <c r="B9" s="723" t="s">
        <v>70</v>
      </c>
      <c r="C9" s="715"/>
      <c r="D9" s="717"/>
      <c r="E9" s="716"/>
      <c r="F9" s="718"/>
      <c r="G9" s="717"/>
      <c r="H9" s="716"/>
      <c r="I9" s="718"/>
      <c r="J9" s="717"/>
      <c r="K9" s="716"/>
      <c r="L9" s="718"/>
      <c r="M9" s="717"/>
      <c r="N9" s="716"/>
      <c r="O9" s="718"/>
      <c r="P9" s="717"/>
      <c r="Q9" s="716"/>
      <c r="R9" s="715"/>
      <c r="S9" s="714">
        <f t="shared" si="0"/>
        <v>0</v>
      </c>
    </row>
    <row r="10" spans="1:19" ht="19.5" customHeight="1" thickBot="1">
      <c r="A10" s="713">
        <v>5</v>
      </c>
      <c r="B10" s="723" t="s">
        <v>71</v>
      </c>
      <c r="C10" s="727"/>
      <c r="D10" s="725"/>
      <c r="E10" s="726"/>
      <c r="F10" s="725"/>
      <c r="G10" s="702"/>
      <c r="H10" s="726"/>
      <c r="I10" s="725"/>
      <c r="J10" s="702"/>
      <c r="K10" s="726"/>
      <c r="L10" s="725"/>
      <c r="M10" s="702"/>
      <c r="N10" s="726"/>
      <c r="O10" s="725"/>
      <c r="P10" s="702"/>
      <c r="Q10" s="726"/>
      <c r="R10" s="715"/>
      <c r="S10" s="714">
        <f t="shared" si="0"/>
        <v>0</v>
      </c>
    </row>
    <row r="11" spans="1:19" ht="19.5" customHeight="1" thickBot="1">
      <c r="A11" s="713">
        <v>6</v>
      </c>
      <c r="B11" s="731" t="s">
        <v>928</v>
      </c>
      <c r="C11" s="718"/>
      <c r="D11" s="718"/>
      <c r="E11" s="716"/>
      <c r="F11" s="718"/>
      <c r="G11" s="717"/>
      <c r="H11" s="716"/>
      <c r="I11" s="718"/>
      <c r="J11" s="717"/>
      <c r="K11" s="716"/>
      <c r="L11" s="718"/>
      <c r="M11" s="717"/>
      <c r="N11" s="716"/>
      <c r="O11" s="718"/>
      <c r="P11" s="717"/>
      <c r="Q11" s="716"/>
      <c r="R11" s="715"/>
      <c r="S11" s="714">
        <f t="shared" si="0"/>
        <v>0</v>
      </c>
    </row>
    <row r="12" spans="1:19" ht="19.5" customHeight="1" thickBot="1">
      <c r="A12" s="713">
        <v>7</v>
      </c>
      <c r="B12" s="730" t="s">
        <v>927</v>
      </c>
      <c r="C12" s="718"/>
      <c r="D12" s="717"/>
      <c r="E12" s="716"/>
      <c r="F12" s="718"/>
      <c r="G12" s="717"/>
      <c r="H12" s="716"/>
      <c r="I12" s="718"/>
      <c r="J12" s="717"/>
      <c r="K12" s="716"/>
      <c r="L12" s="718"/>
      <c r="M12" s="717"/>
      <c r="N12" s="716"/>
      <c r="O12" s="718"/>
      <c r="P12" s="717"/>
      <c r="Q12" s="716"/>
      <c r="R12" s="715"/>
      <c r="S12" s="714">
        <f t="shared" si="0"/>
        <v>0</v>
      </c>
    </row>
    <row r="13" spans="1:19" ht="19.5" customHeight="1" thickBot="1">
      <c r="A13" s="713">
        <v>8</v>
      </c>
      <c r="B13" s="723" t="s">
        <v>926</v>
      </c>
      <c r="C13" s="727"/>
      <c r="D13" s="725"/>
      <c r="E13" s="726"/>
      <c r="F13" s="725"/>
      <c r="G13" s="702"/>
      <c r="H13" s="726"/>
      <c r="I13" s="725"/>
      <c r="J13" s="702"/>
      <c r="K13" s="726"/>
      <c r="L13" s="725"/>
      <c r="M13" s="702"/>
      <c r="N13" s="726"/>
      <c r="O13" s="725"/>
      <c r="P13" s="702"/>
      <c r="Q13" s="726"/>
      <c r="R13" s="728"/>
      <c r="S13" s="714">
        <f t="shared" si="0"/>
        <v>0</v>
      </c>
    </row>
    <row r="14" spans="1:19" ht="19.5" customHeight="1" thickBot="1">
      <c r="A14" s="713">
        <v>9</v>
      </c>
      <c r="B14" s="723" t="s">
        <v>925</v>
      </c>
      <c r="C14" s="720"/>
      <c r="D14" s="718"/>
      <c r="E14" s="716"/>
      <c r="F14" s="718"/>
      <c r="G14" s="717"/>
      <c r="H14" s="716"/>
      <c r="I14" s="718"/>
      <c r="J14" s="717"/>
      <c r="K14" s="716"/>
      <c r="L14" s="718"/>
      <c r="M14" s="717"/>
      <c r="N14" s="716"/>
      <c r="O14" s="718"/>
      <c r="P14" s="717"/>
      <c r="Q14" s="716"/>
      <c r="R14" s="715"/>
      <c r="S14" s="714">
        <f t="shared" si="0"/>
        <v>0</v>
      </c>
    </row>
    <row r="15" spans="1:19" ht="19.5" customHeight="1" thickBot="1">
      <c r="A15" s="713">
        <v>10</v>
      </c>
      <c r="B15" s="723" t="s">
        <v>76</v>
      </c>
      <c r="C15" s="727"/>
      <c r="D15" s="725"/>
      <c r="E15" s="726"/>
      <c r="F15" s="725"/>
      <c r="G15" s="702"/>
      <c r="H15" s="726"/>
      <c r="I15" s="725"/>
      <c r="J15" s="702"/>
      <c r="K15" s="726"/>
      <c r="L15" s="725"/>
      <c r="M15" s="702"/>
      <c r="N15" s="726"/>
      <c r="O15" s="725"/>
      <c r="P15" s="702"/>
      <c r="Q15" s="726"/>
      <c r="R15" s="728"/>
      <c r="S15" s="714">
        <f t="shared" si="0"/>
        <v>0</v>
      </c>
    </row>
    <row r="16" spans="1:19" ht="19.5" customHeight="1" thickBot="1">
      <c r="A16" s="713">
        <v>11</v>
      </c>
      <c r="B16" s="723" t="s">
        <v>77</v>
      </c>
      <c r="C16" s="720"/>
      <c r="D16" s="718"/>
      <c r="E16" s="716"/>
      <c r="F16" s="718"/>
      <c r="G16" s="717"/>
      <c r="H16" s="716"/>
      <c r="I16" s="718"/>
      <c r="J16" s="717"/>
      <c r="K16" s="716"/>
      <c r="L16" s="718"/>
      <c r="M16" s="717"/>
      <c r="N16" s="716"/>
      <c r="O16" s="718"/>
      <c r="P16" s="717"/>
      <c r="Q16" s="716"/>
      <c r="R16" s="715"/>
      <c r="S16" s="714">
        <f t="shared" si="0"/>
        <v>0</v>
      </c>
    </row>
    <row r="17" spans="1:19" ht="19.5" customHeight="1" thickBot="1">
      <c r="A17" s="713">
        <v>12</v>
      </c>
      <c r="B17" s="723" t="s">
        <v>78</v>
      </c>
      <c r="C17" s="727"/>
      <c r="D17" s="725"/>
      <c r="E17" s="726"/>
      <c r="F17" s="725"/>
      <c r="G17" s="702"/>
      <c r="H17" s="726"/>
      <c r="I17" s="725"/>
      <c r="J17" s="702"/>
      <c r="K17" s="726"/>
      <c r="L17" s="725"/>
      <c r="M17" s="702"/>
      <c r="N17" s="726"/>
      <c r="O17" s="725"/>
      <c r="P17" s="702"/>
      <c r="Q17" s="726"/>
      <c r="R17" s="728"/>
      <c r="S17" s="714">
        <f t="shared" si="0"/>
        <v>0</v>
      </c>
    </row>
    <row r="18" spans="1:19" ht="19.5" customHeight="1" thickBot="1">
      <c r="A18" s="713">
        <v>13</v>
      </c>
      <c r="B18" s="723" t="s">
        <v>79</v>
      </c>
      <c r="C18" s="720"/>
      <c r="D18" s="718"/>
      <c r="E18" s="716"/>
      <c r="F18" s="718"/>
      <c r="G18" s="717"/>
      <c r="H18" s="716"/>
      <c r="I18" s="718"/>
      <c r="J18" s="717"/>
      <c r="K18" s="716"/>
      <c r="L18" s="718"/>
      <c r="M18" s="717"/>
      <c r="N18" s="716"/>
      <c r="O18" s="718"/>
      <c r="P18" s="717"/>
      <c r="Q18" s="716"/>
      <c r="R18" s="715"/>
      <c r="S18" s="714">
        <f t="shared" si="0"/>
        <v>0</v>
      </c>
    </row>
    <row r="19" spans="1:19" ht="19.5" customHeight="1" thickBot="1">
      <c r="A19" s="713">
        <v>14</v>
      </c>
      <c r="B19" s="723" t="s">
        <v>82</v>
      </c>
      <c r="C19" s="727"/>
      <c r="D19" s="725"/>
      <c r="E19" s="726"/>
      <c r="F19" s="725"/>
      <c r="G19" s="702"/>
      <c r="H19" s="726"/>
      <c r="I19" s="725"/>
      <c r="J19" s="702"/>
      <c r="K19" s="726"/>
      <c r="L19" s="725"/>
      <c r="M19" s="702"/>
      <c r="N19" s="726"/>
      <c r="O19" s="725"/>
      <c r="P19" s="702"/>
      <c r="Q19" s="726"/>
      <c r="R19" s="729"/>
      <c r="S19" s="714">
        <f t="shared" si="0"/>
        <v>0</v>
      </c>
    </row>
    <row r="20" spans="1:19" ht="19.5" customHeight="1" thickBot="1">
      <c r="A20" s="713">
        <v>15</v>
      </c>
      <c r="B20" s="723" t="s">
        <v>83</v>
      </c>
      <c r="C20" s="720"/>
      <c r="D20" s="718"/>
      <c r="E20" s="716"/>
      <c r="F20" s="718"/>
      <c r="G20" s="717"/>
      <c r="H20" s="716"/>
      <c r="I20" s="718"/>
      <c r="J20" s="717"/>
      <c r="K20" s="716"/>
      <c r="L20" s="718"/>
      <c r="M20" s="717"/>
      <c r="N20" s="716"/>
      <c r="O20" s="718"/>
      <c r="P20" s="717"/>
      <c r="Q20" s="716"/>
      <c r="R20" s="715"/>
      <c r="S20" s="714">
        <f t="shared" si="0"/>
        <v>0</v>
      </c>
    </row>
    <row r="21" spans="1:19" ht="19.5" customHeight="1" thickBot="1">
      <c r="A21" s="713">
        <v>16</v>
      </c>
      <c r="B21" s="723" t="s">
        <v>403</v>
      </c>
      <c r="C21" s="727"/>
      <c r="D21" s="725"/>
      <c r="E21" s="726"/>
      <c r="F21" s="725"/>
      <c r="G21" s="702"/>
      <c r="H21" s="726"/>
      <c r="I21" s="725"/>
      <c r="J21" s="702"/>
      <c r="K21" s="726"/>
      <c r="L21" s="725"/>
      <c r="M21" s="702"/>
      <c r="N21" s="726"/>
      <c r="O21" s="725"/>
      <c r="P21" s="702"/>
      <c r="Q21" s="726"/>
      <c r="R21" s="728"/>
      <c r="S21" s="714">
        <f t="shared" si="0"/>
        <v>0</v>
      </c>
    </row>
    <row r="22" spans="1:19" ht="19.5" customHeight="1" thickBot="1">
      <c r="A22" s="713">
        <v>17</v>
      </c>
      <c r="B22" s="723" t="s">
        <v>80</v>
      </c>
      <c r="C22" s="720"/>
      <c r="D22" s="718"/>
      <c r="E22" s="716"/>
      <c r="F22" s="718"/>
      <c r="G22" s="717"/>
      <c r="H22" s="716"/>
      <c r="I22" s="718"/>
      <c r="J22" s="717"/>
      <c r="K22" s="716"/>
      <c r="L22" s="718"/>
      <c r="M22" s="717"/>
      <c r="N22" s="716"/>
      <c r="O22" s="718"/>
      <c r="P22" s="717"/>
      <c r="Q22" s="716"/>
      <c r="R22" s="715"/>
      <c r="S22" s="714">
        <f t="shared" si="0"/>
        <v>0</v>
      </c>
    </row>
    <row r="23" spans="1:19" ht="19.5" customHeight="1" thickBot="1">
      <c r="A23" s="713">
        <v>18</v>
      </c>
      <c r="B23" s="723" t="s">
        <v>84</v>
      </c>
      <c r="C23" s="727"/>
      <c r="D23" s="725"/>
      <c r="E23" s="726"/>
      <c r="F23" s="725"/>
      <c r="G23" s="702"/>
      <c r="H23" s="726"/>
      <c r="I23" s="725"/>
      <c r="J23" s="702"/>
      <c r="K23" s="726"/>
      <c r="L23" s="725"/>
      <c r="M23" s="702"/>
      <c r="N23" s="726"/>
      <c r="O23" s="725"/>
      <c r="P23" s="702"/>
      <c r="Q23" s="724"/>
      <c r="R23" s="715"/>
      <c r="S23" s="714">
        <f t="shared" si="0"/>
        <v>0</v>
      </c>
    </row>
    <row r="24" spans="1:19" ht="19.5" customHeight="1" thickBot="1">
      <c r="A24" s="713">
        <v>19</v>
      </c>
      <c r="B24" s="723" t="s">
        <v>85</v>
      </c>
      <c r="C24" s="720"/>
      <c r="D24" s="718"/>
      <c r="E24" s="716"/>
      <c r="F24" s="718"/>
      <c r="G24" s="717"/>
      <c r="H24" s="716"/>
      <c r="I24" s="718"/>
      <c r="J24" s="717"/>
      <c r="K24" s="716"/>
      <c r="L24" s="718"/>
      <c r="M24" s="717"/>
      <c r="N24" s="716"/>
      <c r="O24" s="718"/>
      <c r="P24" s="717"/>
      <c r="Q24" s="716"/>
      <c r="R24" s="715"/>
      <c r="S24" s="714">
        <f t="shared" si="0"/>
        <v>0</v>
      </c>
    </row>
    <row r="25" spans="1:19" ht="19.5" customHeight="1" thickBot="1">
      <c r="A25" s="722">
        <v>20</v>
      </c>
      <c r="B25" s="721" t="s">
        <v>87</v>
      </c>
      <c r="C25" s="720"/>
      <c r="D25" s="717"/>
      <c r="E25" s="719"/>
      <c r="F25" s="718"/>
      <c r="G25" s="717"/>
      <c r="H25" s="716"/>
      <c r="I25" s="718"/>
      <c r="J25" s="717"/>
      <c r="K25" s="716"/>
      <c r="L25" s="718"/>
      <c r="M25" s="717"/>
      <c r="N25" s="716"/>
      <c r="O25" s="718"/>
      <c r="P25" s="717"/>
      <c r="Q25" s="716"/>
      <c r="R25" s="715"/>
      <c r="S25" s="714">
        <f t="shared" si="0"/>
        <v>0</v>
      </c>
    </row>
    <row r="26" spans="1:19" ht="19.5" customHeight="1" thickBot="1">
      <c r="A26" s="713">
        <v>21</v>
      </c>
      <c r="B26" s="712" t="s">
        <v>88</v>
      </c>
      <c r="C26" s="711"/>
      <c r="D26" s="707"/>
      <c r="E26" s="710"/>
      <c r="F26" s="709"/>
      <c r="G26" s="707"/>
      <c r="H26" s="706"/>
      <c r="I26" s="708"/>
      <c r="J26" s="707"/>
      <c r="K26" s="706"/>
      <c r="L26" s="708"/>
      <c r="M26" s="707"/>
      <c r="N26" s="706"/>
      <c r="O26" s="708"/>
      <c r="P26" s="707"/>
      <c r="Q26" s="706"/>
      <c r="R26" s="705"/>
      <c r="S26" s="704">
        <f>SUM(F26:R26)</f>
        <v>0</v>
      </c>
    </row>
    <row r="27" spans="1:19" ht="19.5" customHeight="1" thickTop="1" thickBot="1">
      <c r="A27" s="3211" t="s">
        <v>924</v>
      </c>
      <c r="B27" s="3212"/>
      <c r="C27" s="703">
        <f t="shared" ref="C27:S27" si="1">SUM(C6:C26)</f>
        <v>0</v>
      </c>
      <c r="D27" s="702">
        <f t="shared" si="1"/>
        <v>0</v>
      </c>
      <c r="E27" s="701">
        <f t="shared" si="1"/>
        <v>0</v>
      </c>
      <c r="F27" s="703">
        <f t="shared" si="1"/>
        <v>0</v>
      </c>
      <c r="G27" s="702">
        <f t="shared" si="1"/>
        <v>0</v>
      </c>
      <c r="H27" s="701">
        <f t="shared" si="1"/>
        <v>0</v>
      </c>
      <c r="I27" s="703">
        <f t="shared" si="1"/>
        <v>0</v>
      </c>
      <c r="J27" s="702">
        <f t="shared" si="1"/>
        <v>0</v>
      </c>
      <c r="K27" s="701">
        <f t="shared" si="1"/>
        <v>0</v>
      </c>
      <c r="L27" s="703">
        <f t="shared" si="1"/>
        <v>0</v>
      </c>
      <c r="M27" s="702">
        <f t="shared" si="1"/>
        <v>0</v>
      </c>
      <c r="N27" s="701">
        <f t="shared" si="1"/>
        <v>0</v>
      </c>
      <c r="O27" s="703">
        <f t="shared" si="1"/>
        <v>0</v>
      </c>
      <c r="P27" s="702">
        <f t="shared" si="1"/>
        <v>0</v>
      </c>
      <c r="Q27" s="701">
        <f t="shared" si="1"/>
        <v>0</v>
      </c>
      <c r="R27" s="3213">
        <f t="shared" si="1"/>
        <v>0</v>
      </c>
      <c r="S27" s="3215">
        <f t="shared" si="1"/>
        <v>0</v>
      </c>
    </row>
    <row r="28" spans="1:19" ht="24.75" thickBot="1">
      <c r="A28" s="3217" t="s">
        <v>845</v>
      </c>
      <c r="B28" s="3218"/>
      <c r="C28" s="3219">
        <f>SUM(C27:E27)</f>
        <v>0</v>
      </c>
      <c r="D28" s="3220"/>
      <c r="E28" s="3221"/>
      <c r="F28" s="3222">
        <f>SUM(F27:K27)</f>
        <v>0</v>
      </c>
      <c r="G28" s="3223"/>
      <c r="H28" s="3223"/>
      <c r="I28" s="3223"/>
      <c r="J28" s="3223"/>
      <c r="K28" s="3224"/>
      <c r="L28" s="3222">
        <f>SUM(L27:Q27)</f>
        <v>0</v>
      </c>
      <c r="M28" s="3223"/>
      <c r="N28" s="3223"/>
      <c r="O28" s="3223"/>
      <c r="P28" s="3223"/>
      <c r="Q28" s="3224"/>
      <c r="R28" s="3214"/>
      <c r="S28" s="3216"/>
    </row>
    <row r="29" spans="1:19" ht="16.5" thickBot="1">
      <c r="A29" s="3230" t="s">
        <v>923</v>
      </c>
      <c r="B29" s="3231"/>
      <c r="C29" s="3231"/>
      <c r="D29" s="3231"/>
      <c r="E29" s="3231"/>
      <c r="F29" s="3231"/>
      <c r="G29" s="3231"/>
      <c r="H29" s="3231"/>
      <c r="I29" s="3231"/>
      <c r="J29" s="3231"/>
      <c r="K29" s="3231"/>
      <c r="L29" s="3231"/>
      <c r="M29" s="3231"/>
      <c r="N29" s="3231"/>
      <c r="O29" s="3231"/>
      <c r="P29" s="3231"/>
      <c r="Q29" s="3231"/>
      <c r="R29" s="3231"/>
      <c r="S29" s="3232">
        <v>15</v>
      </c>
    </row>
    <row r="30" spans="1:19" ht="16.5" thickBot="1">
      <c r="A30" s="3230" t="s">
        <v>922</v>
      </c>
      <c r="B30" s="3231"/>
      <c r="C30" s="3231"/>
      <c r="D30" s="3231"/>
      <c r="E30" s="3231"/>
      <c r="F30" s="3231"/>
      <c r="G30" s="3231"/>
      <c r="H30" s="3231"/>
      <c r="I30" s="3231"/>
      <c r="J30" s="3231"/>
      <c r="K30" s="3231"/>
      <c r="L30" s="3231"/>
      <c r="M30" s="3231"/>
      <c r="N30" s="3231"/>
      <c r="O30" s="3231"/>
      <c r="P30" s="3231"/>
      <c r="Q30" s="3231"/>
      <c r="R30" s="3231"/>
      <c r="S30" s="3233"/>
    </row>
    <row r="31" spans="1:19" ht="16.5" thickBot="1">
      <c r="A31" s="3230" t="s">
        <v>921</v>
      </c>
      <c r="B31" s="3231"/>
      <c r="C31" s="3231"/>
      <c r="D31" s="3231"/>
      <c r="E31" s="3231"/>
      <c r="F31" s="3231"/>
      <c r="G31" s="3231"/>
      <c r="H31" s="3231"/>
      <c r="I31" s="3231"/>
      <c r="J31" s="3231"/>
      <c r="K31" s="3231"/>
      <c r="L31" s="3231"/>
      <c r="M31" s="3231"/>
      <c r="N31" s="3231"/>
      <c r="O31" s="3231"/>
      <c r="P31" s="3231"/>
      <c r="Q31" s="3231"/>
      <c r="R31" s="3231"/>
      <c r="S31" s="3233"/>
    </row>
    <row r="32" spans="1:19" ht="15" thickBot="1">
      <c r="A32" s="3234" t="s">
        <v>920</v>
      </c>
      <c r="B32" s="3235"/>
      <c r="C32" s="3235"/>
      <c r="D32" s="3235"/>
      <c r="E32" s="3235"/>
      <c r="F32" s="3235"/>
      <c r="G32" s="3235"/>
      <c r="H32" s="3235"/>
      <c r="I32" s="3235"/>
      <c r="J32" s="3235"/>
      <c r="K32" s="3235"/>
      <c r="L32" s="3235"/>
      <c r="M32" s="3235"/>
      <c r="N32" s="3235"/>
      <c r="O32" s="3235"/>
      <c r="P32" s="3235"/>
      <c r="Q32" s="3235"/>
      <c r="R32" s="3235"/>
      <c r="S32" s="3216"/>
    </row>
    <row r="33" spans="1:20" ht="24.75" thickBot="1">
      <c r="A33" s="3236" t="s">
        <v>919</v>
      </c>
      <c r="B33" s="3237"/>
      <c r="C33" s="3237"/>
      <c r="D33" s="3237"/>
      <c r="E33" s="3237"/>
      <c r="F33" s="3237"/>
      <c r="G33" s="3237"/>
      <c r="H33" s="3237"/>
      <c r="I33" s="3237"/>
      <c r="J33" s="3237"/>
      <c r="K33" s="3237"/>
      <c r="L33" s="3237"/>
      <c r="M33" s="3237"/>
      <c r="N33" s="3237"/>
      <c r="O33" s="3237"/>
      <c r="P33" s="3237"/>
      <c r="Q33" s="3237"/>
      <c r="R33" s="3238"/>
      <c r="S33" s="700">
        <v>144</v>
      </c>
    </row>
    <row r="34" spans="1:20" ht="26.25" thickBot="1">
      <c r="A34" s="3225" t="s">
        <v>918</v>
      </c>
      <c r="B34" s="3226"/>
      <c r="C34" s="3226"/>
      <c r="D34" s="3226"/>
      <c r="E34" s="3226"/>
      <c r="F34" s="3226"/>
      <c r="G34" s="3226"/>
      <c r="H34" s="3226"/>
      <c r="I34" s="3226"/>
      <c r="J34" s="3226"/>
      <c r="K34" s="3226"/>
      <c r="L34" s="3226"/>
      <c r="M34" s="3226"/>
      <c r="N34" s="3226"/>
      <c r="O34" s="3226"/>
      <c r="P34" s="3226"/>
      <c r="Q34" s="3226"/>
      <c r="R34" s="3227"/>
      <c r="S34" s="699">
        <f>SUM(S27:S33)</f>
        <v>159</v>
      </c>
    </row>
    <row r="35" spans="1:20" ht="18">
      <c r="A35" s="3228" t="s">
        <v>917</v>
      </c>
      <c r="B35" s="3229"/>
      <c r="C35" s="3229"/>
      <c r="D35" s="3229"/>
      <c r="E35" s="3229"/>
      <c r="F35" s="3229"/>
      <c r="G35" s="3229"/>
      <c r="H35" s="3229"/>
      <c r="I35" s="698"/>
      <c r="J35" s="698"/>
      <c r="K35" s="698"/>
      <c r="L35" s="698"/>
      <c r="M35" s="698"/>
      <c r="N35" s="698"/>
      <c r="O35" s="698"/>
      <c r="P35" s="698"/>
      <c r="Q35" s="698"/>
      <c r="R35" s="698"/>
      <c r="S35" s="698"/>
    </row>
    <row r="36" spans="1:20">
      <c r="A36" s="697"/>
      <c r="B36" s="697"/>
      <c r="C36" s="697"/>
      <c r="D36" s="697"/>
      <c r="E36" s="697"/>
      <c r="F36" s="697"/>
      <c r="G36" s="697"/>
      <c r="H36" s="697"/>
      <c r="I36" s="697"/>
      <c r="J36" s="697"/>
      <c r="K36" s="697"/>
      <c r="L36" s="697"/>
      <c r="M36" s="697"/>
      <c r="N36" s="697"/>
      <c r="O36" s="697"/>
      <c r="P36" s="697"/>
      <c r="Q36" s="697"/>
      <c r="R36" s="697"/>
      <c r="S36" s="697"/>
      <c r="T36" s="697"/>
    </row>
  </sheetData>
  <mergeCells count="42">
    <mergeCell ref="A34:R34"/>
    <mergeCell ref="A35:H35"/>
    <mergeCell ref="A29:R29"/>
    <mergeCell ref="S29:S32"/>
    <mergeCell ref="A30:R30"/>
    <mergeCell ref="A31:R31"/>
    <mergeCell ref="A32:R32"/>
    <mergeCell ref="A33:R33"/>
    <mergeCell ref="A27:B27"/>
    <mergeCell ref="R27:R28"/>
    <mergeCell ref="S27:S28"/>
    <mergeCell ref="A28:B28"/>
    <mergeCell ref="C28:E28"/>
    <mergeCell ref="F28:K28"/>
    <mergeCell ref="L28:Q28"/>
    <mergeCell ref="G4:G5"/>
    <mergeCell ref="H4:H5"/>
    <mergeCell ref="I4:I5"/>
    <mergeCell ref="J4:J5"/>
    <mergeCell ref="Q4:Q5"/>
    <mergeCell ref="K4:K5"/>
    <mergeCell ref="L4:L5"/>
    <mergeCell ref="M4:M5"/>
    <mergeCell ref="N4:N5"/>
    <mergeCell ref="O4:O5"/>
    <mergeCell ref="P4:P5"/>
    <mergeCell ref="A1:S1"/>
    <mergeCell ref="A2:A5"/>
    <mergeCell ref="B2:B5"/>
    <mergeCell ref="C2:E3"/>
    <mergeCell ref="F2:K2"/>
    <mergeCell ref="L2:Q2"/>
    <mergeCell ref="R2:R5"/>
    <mergeCell ref="S2:S5"/>
    <mergeCell ref="F3:H3"/>
    <mergeCell ref="I3:K3"/>
    <mergeCell ref="L3:N3"/>
    <mergeCell ref="O3:Q3"/>
    <mergeCell ref="C4:C5"/>
    <mergeCell ref="D4:D5"/>
    <mergeCell ref="E4:E5"/>
    <mergeCell ref="F4:F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</sheetPr>
  <dimension ref="A1:T36"/>
  <sheetViews>
    <sheetView showGridLines="0" rightToLeft="1" topLeftCell="A11" workbookViewId="0">
      <selection activeCell="S1" sqref="A1:S35"/>
    </sheetView>
  </sheetViews>
  <sheetFormatPr defaultColWidth="9.125" defaultRowHeight="12.75"/>
  <cols>
    <col min="1" max="1" width="9.125" style="696"/>
    <col min="2" max="2" width="12" style="696" customWidth="1"/>
    <col min="3" max="16384" width="9.125" style="696"/>
  </cols>
  <sheetData>
    <row r="1" spans="1:19" ht="39.75" customHeight="1" thickBot="1">
      <c r="A1" s="3103" t="s">
        <v>941</v>
      </c>
      <c r="B1" s="3103"/>
      <c r="C1" s="3103"/>
      <c r="D1" s="3103"/>
      <c r="E1" s="3103"/>
      <c r="F1" s="3103"/>
      <c r="G1" s="3103"/>
      <c r="H1" s="3103"/>
      <c r="I1" s="3103"/>
      <c r="J1" s="3103"/>
      <c r="K1" s="3103"/>
      <c r="L1" s="3103"/>
      <c r="M1" s="3103"/>
      <c r="N1" s="3103"/>
      <c r="O1" s="3103"/>
      <c r="P1" s="3103"/>
      <c r="Q1" s="3103"/>
      <c r="R1" s="3103"/>
      <c r="S1" s="1508"/>
    </row>
    <row r="2" spans="1:19" ht="20.25">
      <c r="A2" s="3176" t="s">
        <v>339</v>
      </c>
      <c r="B2" s="3179" t="s">
        <v>830</v>
      </c>
      <c r="C2" s="3182" t="s">
        <v>940</v>
      </c>
      <c r="D2" s="3183"/>
      <c r="E2" s="3183"/>
      <c r="F2" s="3186" t="s">
        <v>939</v>
      </c>
      <c r="G2" s="3187"/>
      <c r="H2" s="3187"/>
      <c r="I2" s="3187"/>
      <c r="J2" s="3187"/>
      <c r="K2" s="3188"/>
      <c r="L2" s="3186" t="s">
        <v>938</v>
      </c>
      <c r="M2" s="3187"/>
      <c r="N2" s="3187"/>
      <c r="O2" s="3187"/>
      <c r="P2" s="3187"/>
      <c r="Q2" s="3188"/>
      <c r="R2" s="3182" t="s">
        <v>937</v>
      </c>
      <c r="S2" s="3191" t="s">
        <v>281</v>
      </c>
    </row>
    <row r="3" spans="1:19" ht="18">
      <c r="A3" s="3177"/>
      <c r="B3" s="3180"/>
      <c r="C3" s="3184"/>
      <c r="D3" s="3185"/>
      <c r="E3" s="3185"/>
      <c r="F3" s="3184" t="s">
        <v>936</v>
      </c>
      <c r="G3" s="3185"/>
      <c r="H3" s="3243"/>
      <c r="I3" s="3184" t="s">
        <v>935</v>
      </c>
      <c r="J3" s="3185"/>
      <c r="K3" s="3243"/>
      <c r="L3" s="3244" t="s">
        <v>936</v>
      </c>
      <c r="M3" s="3245"/>
      <c r="N3" s="3246"/>
      <c r="O3" s="3184" t="s">
        <v>935</v>
      </c>
      <c r="P3" s="3185"/>
      <c r="Q3" s="3243"/>
      <c r="R3" s="3189"/>
      <c r="S3" s="3192"/>
    </row>
    <row r="4" spans="1:19">
      <c r="A4" s="3177"/>
      <c r="B4" s="3180"/>
      <c r="C4" s="3247" t="s">
        <v>934</v>
      </c>
      <c r="D4" s="3249" t="s">
        <v>933</v>
      </c>
      <c r="E4" s="3251" t="s">
        <v>932</v>
      </c>
      <c r="F4" s="3241" t="s">
        <v>931</v>
      </c>
      <c r="G4" s="3252" t="s">
        <v>930</v>
      </c>
      <c r="H4" s="3239" t="s">
        <v>929</v>
      </c>
      <c r="I4" s="3241" t="s">
        <v>931</v>
      </c>
      <c r="J4" s="3241" t="s">
        <v>930</v>
      </c>
      <c r="K4" s="3239" t="s">
        <v>929</v>
      </c>
      <c r="L4" s="3252" t="s">
        <v>931</v>
      </c>
      <c r="M4" s="3249" t="s">
        <v>930</v>
      </c>
      <c r="N4" s="3239" t="s">
        <v>929</v>
      </c>
      <c r="O4" s="3252" t="s">
        <v>931</v>
      </c>
      <c r="P4" s="3249" t="s">
        <v>930</v>
      </c>
      <c r="Q4" s="3239" t="s">
        <v>929</v>
      </c>
      <c r="R4" s="3189"/>
      <c r="S4" s="3192"/>
    </row>
    <row r="5" spans="1:19" ht="33" customHeight="1" thickBot="1">
      <c r="A5" s="3178"/>
      <c r="B5" s="3181"/>
      <c r="C5" s="3248"/>
      <c r="D5" s="3250"/>
      <c r="E5" s="3240"/>
      <c r="F5" s="3242"/>
      <c r="G5" s="3253"/>
      <c r="H5" s="3240"/>
      <c r="I5" s="3242"/>
      <c r="J5" s="3242"/>
      <c r="K5" s="3240"/>
      <c r="L5" s="3253"/>
      <c r="M5" s="3250"/>
      <c r="N5" s="3240"/>
      <c r="O5" s="3253"/>
      <c r="P5" s="3250"/>
      <c r="Q5" s="3240"/>
      <c r="R5" s="3190"/>
      <c r="S5" s="3193"/>
    </row>
    <row r="6" spans="1:19" ht="21.75" thickBot="1">
      <c r="A6" s="722">
        <v>1</v>
      </c>
      <c r="B6" s="739" t="s">
        <v>68</v>
      </c>
      <c r="C6" s="1509">
        <v>5</v>
      </c>
      <c r="D6" s="1510">
        <v>9</v>
      </c>
      <c r="E6" s="1511" t="s">
        <v>95</v>
      </c>
      <c r="F6" s="1512" t="s">
        <v>95</v>
      </c>
      <c r="G6" s="1513" t="s">
        <v>95</v>
      </c>
      <c r="H6" s="1514" t="s">
        <v>95</v>
      </c>
      <c r="I6" s="1512" t="s">
        <v>95</v>
      </c>
      <c r="J6" s="1513" t="s">
        <v>95</v>
      </c>
      <c r="K6" s="1514" t="s">
        <v>95</v>
      </c>
      <c r="L6" s="1512">
        <v>2</v>
      </c>
      <c r="M6" s="1513">
        <v>1</v>
      </c>
      <c r="N6" s="1514" t="s">
        <v>95</v>
      </c>
      <c r="O6" s="1512" t="s">
        <v>95</v>
      </c>
      <c r="P6" s="1513" t="s">
        <v>95</v>
      </c>
      <c r="Q6" s="1514" t="s">
        <v>95</v>
      </c>
      <c r="R6" s="1515">
        <v>11</v>
      </c>
      <c r="S6" s="714">
        <v>14</v>
      </c>
    </row>
    <row r="7" spans="1:19" ht="21.75" thickBot="1">
      <c r="A7" s="713">
        <v>2</v>
      </c>
      <c r="B7" s="721" t="s">
        <v>69</v>
      </c>
      <c r="C7" s="1516">
        <v>11</v>
      </c>
      <c r="D7" s="1517">
        <v>2</v>
      </c>
      <c r="E7" s="1518">
        <v>1</v>
      </c>
      <c r="F7" s="1519">
        <v>3</v>
      </c>
      <c r="G7" s="1520">
        <v>3</v>
      </c>
      <c r="H7" s="1521" t="s">
        <v>95</v>
      </c>
      <c r="I7" s="1519">
        <v>2</v>
      </c>
      <c r="J7" s="1520" t="s">
        <v>95</v>
      </c>
      <c r="K7" s="1521" t="s">
        <v>95</v>
      </c>
      <c r="L7" s="1519">
        <v>3</v>
      </c>
      <c r="M7" s="1520">
        <v>1</v>
      </c>
      <c r="N7" s="1521" t="s">
        <v>95</v>
      </c>
      <c r="O7" s="1519" t="s">
        <v>95</v>
      </c>
      <c r="P7" s="1520" t="s">
        <v>95</v>
      </c>
      <c r="Q7" s="1521" t="s">
        <v>95</v>
      </c>
      <c r="R7" s="1522">
        <v>2</v>
      </c>
      <c r="S7" s="714">
        <v>14</v>
      </c>
    </row>
    <row r="8" spans="1:19" ht="21.75" thickBot="1">
      <c r="A8" s="713">
        <v>3</v>
      </c>
      <c r="B8" s="723" t="s">
        <v>86</v>
      </c>
      <c r="C8" s="1523">
        <v>8</v>
      </c>
      <c r="D8" s="1524">
        <v>10</v>
      </c>
      <c r="E8" s="1525">
        <v>1</v>
      </c>
      <c r="F8" s="1526">
        <v>8</v>
      </c>
      <c r="G8" s="1527">
        <v>3</v>
      </c>
      <c r="H8" s="1528" t="s">
        <v>95</v>
      </c>
      <c r="I8" s="1526" t="s">
        <v>95</v>
      </c>
      <c r="J8" s="1527" t="s">
        <v>95</v>
      </c>
      <c r="K8" s="1528" t="s">
        <v>95</v>
      </c>
      <c r="L8" s="1526">
        <v>6</v>
      </c>
      <c r="M8" s="1527">
        <v>1</v>
      </c>
      <c r="N8" s="1528" t="s">
        <v>95</v>
      </c>
      <c r="O8" s="1526" t="s">
        <v>95</v>
      </c>
      <c r="P8" s="1527" t="s">
        <v>95</v>
      </c>
      <c r="Q8" s="1528" t="s">
        <v>95</v>
      </c>
      <c r="R8" s="1529">
        <v>1</v>
      </c>
      <c r="S8" s="714">
        <v>19</v>
      </c>
    </row>
    <row r="9" spans="1:19" ht="21.75" thickBot="1">
      <c r="A9" s="713">
        <v>4</v>
      </c>
      <c r="B9" s="723" t="s">
        <v>70</v>
      </c>
      <c r="C9" s="1530">
        <v>6</v>
      </c>
      <c r="D9" s="1531">
        <v>5</v>
      </c>
      <c r="E9" s="1518" t="s">
        <v>95</v>
      </c>
      <c r="F9" s="1519" t="s">
        <v>95</v>
      </c>
      <c r="G9" s="1520" t="s">
        <v>95</v>
      </c>
      <c r="H9" s="1521" t="s">
        <v>95</v>
      </c>
      <c r="I9" s="1519" t="s">
        <v>95</v>
      </c>
      <c r="J9" s="1520" t="s">
        <v>95</v>
      </c>
      <c r="K9" s="1521" t="s">
        <v>95</v>
      </c>
      <c r="L9" s="1519">
        <v>2</v>
      </c>
      <c r="M9" s="1520">
        <v>2</v>
      </c>
      <c r="N9" s="1521" t="s">
        <v>95</v>
      </c>
      <c r="O9" s="1519" t="s">
        <v>95</v>
      </c>
      <c r="P9" s="1520" t="s">
        <v>95</v>
      </c>
      <c r="Q9" s="1521" t="s">
        <v>95</v>
      </c>
      <c r="R9" s="1532">
        <v>7</v>
      </c>
      <c r="S9" s="714">
        <v>11</v>
      </c>
    </row>
    <row r="10" spans="1:19" ht="21.75" thickBot="1">
      <c r="A10" s="713">
        <v>5</v>
      </c>
      <c r="B10" s="723" t="s">
        <v>71</v>
      </c>
      <c r="C10" s="1523">
        <v>13</v>
      </c>
      <c r="D10" s="1524">
        <v>2</v>
      </c>
      <c r="E10" s="1525" t="s">
        <v>95</v>
      </c>
      <c r="F10" s="1526">
        <v>2</v>
      </c>
      <c r="G10" s="1527" t="s">
        <v>95</v>
      </c>
      <c r="H10" s="1528" t="s">
        <v>95</v>
      </c>
      <c r="I10" s="1526">
        <v>3</v>
      </c>
      <c r="J10" s="1527">
        <v>2</v>
      </c>
      <c r="K10" s="1528" t="s">
        <v>95</v>
      </c>
      <c r="L10" s="1526">
        <v>5</v>
      </c>
      <c r="M10" s="1527">
        <v>1</v>
      </c>
      <c r="N10" s="1528" t="s">
        <v>95</v>
      </c>
      <c r="O10" s="1526" t="s">
        <v>95</v>
      </c>
      <c r="P10" s="1527">
        <v>2</v>
      </c>
      <c r="Q10" s="1528" t="s">
        <v>95</v>
      </c>
      <c r="R10" s="1532" t="s">
        <v>95</v>
      </c>
      <c r="S10" s="714">
        <v>15</v>
      </c>
    </row>
    <row r="11" spans="1:19" ht="21.75" thickBot="1">
      <c r="A11" s="713">
        <v>6</v>
      </c>
      <c r="B11" s="731" t="s">
        <v>928</v>
      </c>
      <c r="C11" s="1517">
        <v>13</v>
      </c>
      <c r="D11" s="1517">
        <v>3</v>
      </c>
      <c r="E11" s="1518" t="s">
        <v>95</v>
      </c>
      <c r="F11" s="1519">
        <v>4</v>
      </c>
      <c r="G11" s="1520">
        <v>2</v>
      </c>
      <c r="H11" s="1521" t="s">
        <v>302</v>
      </c>
      <c r="I11" s="1519">
        <v>4</v>
      </c>
      <c r="J11" s="1520">
        <v>2</v>
      </c>
      <c r="K11" s="1521" t="s">
        <v>95</v>
      </c>
      <c r="L11" s="1519">
        <v>2</v>
      </c>
      <c r="M11" s="1520">
        <v>2</v>
      </c>
      <c r="N11" s="1521" t="s">
        <v>95</v>
      </c>
      <c r="O11" s="1519" t="s">
        <v>95</v>
      </c>
      <c r="P11" s="1520" t="s">
        <v>95</v>
      </c>
      <c r="Q11" s="1521" t="s">
        <v>95</v>
      </c>
      <c r="R11" s="1532" t="s">
        <v>95</v>
      </c>
      <c r="S11" s="714">
        <v>16</v>
      </c>
    </row>
    <row r="12" spans="1:19" ht="21.75" thickBot="1">
      <c r="A12" s="713">
        <v>7</v>
      </c>
      <c r="B12" s="730" t="s">
        <v>927</v>
      </c>
      <c r="C12" s="1517">
        <v>4</v>
      </c>
      <c r="D12" s="1531">
        <v>3</v>
      </c>
      <c r="E12" s="1518" t="s">
        <v>95</v>
      </c>
      <c r="F12" s="1519">
        <v>1</v>
      </c>
      <c r="G12" s="1520" t="s">
        <v>95</v>
      </c>
      <c r="H12" s="1521" t="s">
        <v>95</v>
      </c>
      <c r="I12" s="1519" t="s">
        <v>95</v>
      </c>
      <c r="J12" s="1520" t="s">
        <v>95</v>
      </c>
      <c r="K12" s="1521" t="s">
        <v>95</v>
      </c>
      <c r="L12" s="1519">
        <v>1</v>
      </c>
      <c r="M12" s="1520" t="s">
        <v>95</v>
      </c>
      <c r="N12" s="1521" t="s">
        <v>95</v>
      </c>
      <c r="O12" s="1519" t="s">
        <v>95</v>
      </c>
      <c r="P12" s="1520" t="s">
        <v>95</v>
      </c>
      <c r="Q12" s="1521" t="s">
        <v>95</v>
      </c>
      <c r="R12" s="1532">
        <v>5</v>
      </c>
      <c r="S12" s="714">
        <v>7</v>
      </c>
    </row>
    <row r="13" spans="1:19" ht="21.75" thickBot="1">
      <c r="A13" s="713">
        <v>8</v>
      </c>
      <c r="B13" s="723" t="s">
        <v>926</v>
      </c>
      <c r="C13" s="1523">
        <v>10</v>
      </c>
      <c r="D13" s="1524">
        <v>5</v>
      </c>
      <c r="E13" s="1525" t="s">
        <v>95</v>
      </c>
      <c r="F13" s="1526">
        <v>6</v>
      </c>
      <c r="G13" s="1527">
        <v>2</v>
      </c>
      <c r="H13" s="1528" t="s">
        <v>95</v>
      </c>
      <c r="I13" s="1526" t="s">
        <v>95</v>
      </c>
      <c r="J13" s="1527">
        <v>1</v>
      </c>
      <c r="K13" s="1528" t="s">
        <v>95</v>
      </c>
      <c r="L13" s="1526">
        <v>4</v>
      </c>
      <c r="M13" s="1527">
        <v>1</v>
      </c>
      <c r="N13" s="1528" t="s">
        <v>95</v>
      </c>
      <c r="O13" s="1526" t="s">
        <v>95</v>
      </c>
      <c r="P13" s="1527" t="s">
        <v>95</v>
      </c>
      <c r="Q13" s="1528" t="s">
        <v>95</v>
      </c>
      <c r="R13" s="1533">
        <v>1</v>
      </c>
      <c r="S13" s="714">
        <v>15</v>
      </c>
    </row>
    <row r="14" spans="1:19" ht="27.75" customHeight="1" thickBot="1">
      <c r="A14" s="713">
        <v>9</v>
      </c>
      <c r="B14" s="723" t="s">
        <v>925</v>
      </c>
      <c r="C14" s="1516">
        <v>4</v>
      </c>
      <c r="D14" s="1517" t="s">
        <v>95</v>
      </c>
      <c r="E14" s="1518" t="s">
        <v>95</v>
      </c>
      <c r="F14" s="1519">
        <v>2</v>
      </c>
      <c r="G14" s="1520" t="s">
        <v>95</v>
      </c>
      <c r="H14" s="1521" t="s">
        <v>95</v>
      </c>
      <c r="I14" s="1519">
        <v>1</v>
      </c>
      <c r="J14" s="1520" t="s">
        <v>95</v>
      </c>
      <c r="K14" s="1521" t="s">
        <v>95</v>
      </c>
      <c r="L14" s="1519">
        <v>1</v>
      </c>
      <c r="M14" s="1520" t="s">
        <v>95</v>
      </c>
      <c r="N14" s="1521" t="s">
        <v>95</v>
      </c>
      <c r="O14" s="1519" t="s">
        <v>95</v>
      </c>
      <c r="P14" s="1520" t="s">
        <v>95</v>
      </c>
      <c r="Q14" s="1521" t="s">
        <v>95</v>
      </c>
      <c r="R14" s="1532" t="s">
        <v>95</v>
      </c>
      <c r="S14" s="714">
        <v>4</v>
      </c>
    </row>
    <row r="15" spans="1:19" ht="21.75" thickBot="1">
      <c r="A15" s="713">
        <v>10</v>
      </c>
      <c r="B15" s="723" t="s">
        <v>76</v>
      </c>
      <c r="C15" s="1523">
        <v>10</v>
      </c>
      <c r="D15" s="1524">
        <v>3</v>
      </c>
      <c r="E15" s="1525" t="s">
        <v>95</v>
      </c>
      <c r="F15" s="1526">
        <v>7</v>
      </c>
      <c r="G15" s="1527">
        <v>2</v>
      </c>
      <c r="H15" s="1528" t="s">
        <v>95</v>
      </c>
      <c r="I15" s="1526" t="s">
        <v>95</v>
      </c>
      <c r="J15" s="1527" t="s">
        <v>95</v>
      </c>
      <c r="K15" s="1528" t="s">
        <v>95</v>
      </c>
      <c r="L15" s="1526">
        <v>4</v>
      </c>
      <c r="M15" s="1527" t="s">
        <v>95</v>
      </c>
      <c r="N15" s="1528" t="s">
        <v>95</v>
      </c>
      <c r="O15" s="1526" t="s">
        <v>95</v>
      </c>
      <c r="P15" s="1527" t="s">
        <v>95</v>
      </c>
      <c r="Q15" s="1528" t="s">
        <v>95</v>
      </c>
      <c r="R15" s="1533" t="s">
        <v>95</v>
      </c>
      <c r="S15" s="714">
        <v>13</v>
      </c>
    </row>
    <row r="16" spans="1:19" ht="21.75" thickBot="1">
      <c r="A16" s="713">
        <v>11</v>
      </c>
      <c r="B16" s="723" t="s">
        <v>77</v>
      </c>
      <c r="C16" s="1516">
        <v>2</v>
      </c>
      <c r="D16" s="1517">
        <v>6</v>
      </c>
      <c r="E16" s="1518" t="s">
        <v>95</v>
      </c>
      <c r="F16" s="1519" t="s">
        <v>95</v>
      </c>
      <c r="G16" s="1520" t="s">
        <v>95</v>
      </c>
      <c r="H16" s="1521" t="s">
        <v>95</v>
      </c>
      <c r="I16" s="1519" t="s">
        <v>95</v>
      </c>
      <c r="J16" s="1520" t="s">
        <v>95</v>
      </c>
      <c r="K16" s="1521" t="s">
        <v>95</v>
      </c>
      <c r="L16" s="1519">
        <v>1</v>
      </c>
      <c r="M16" s="1520" t="s">
        <v>95</v>
      </c>
      <c r="N16" s="1521" t="s">
        <v>95</v>
      </c>
      <c r="O16" s="1519" t="s">
        <v>95</v>
      </c>
      <c r="P16" s="1520" t="s">
        <v>95</v>
      </c>
      <c r="Q16" s="1521" t="s">
        <v>95</v>
      </c>
      <c r="R16" s="1532">
        <v>7</v>
      </c>
      <c r="S16" s="714">
        <v>8</v>
      </c>
    </row>
    <row r="17" spans="1:19" ht="21.75" thickBot="1">
      <c r="A17" s="713">
        <v>12</v>
      </c>
      <c r="B17" s="723" t="s">
        <v>78</v>
      </c>
      <c r="C17" s="1523">
        <v>16</v>
      </c>
      <c r="D17" s="1524">
        <v>4</v>
      </c>
      <c r="E17" s="1525" t="s">
        <v>95</v>
      </c>
      <c r="F17" s="1526">
        <v>6</v>
      </c>
      <c r="G17" s="1527" t="s">
        <v>95</v>
      </c>
      <c r="H17" s="1528" t="s">
        <v>95</v>
      </c>
      <c r="I17" s="1526">
        <v>7</v>
      </c>
      <c r="J17" s="1527" t="s">
        <v>95</v>
      </c>
      <c r="K17" s="1528" t="s">
        <v>95</v>
      </c>
      <c r="L17" s="1526">
        <v>3</v>
      </c>
      <c r="M17" s="1527" t="s">
        <v>95</v>
      </c>
      <c r="N17" s="1528" t="s">
        <v>95</v>
      </c>
      <c r="O17" s="1526">
        <v>1</v>
      </c>
      <c r="P17" s="1527" t="s">
        <v>95</v>
      </c>
      <c r="Q17" s="1528" t="s">
        <v>95</v>
      </c>
      <c r="R17" s="1533">
        <v>3</v>
      </c>
      <c r="S17" s="714">
        <v>20</v>
      </c>
    </row>
    <row r="18" spans="1:19" ht="21.75" thickBot="1">
      <c r="A18" s="713">
        <v>13</v>
      </c>
      <c r="B18" s="723" t="s">
        <v>79</v>
      </c>
      <c r="C18" s="1516">
        <v>10</v>
      </c>
      <c r="D18" s="1517">
        <v>4</v>
      </c>
      <c r="E18" s="1518" t="s">
        <v>95</v>
      </c>
      <c r="F18" s="1519">
        <v>6</v>
      </c>
      <c r="G18" s="1520">
        <v>4</v>
      </c>
      <c r="H18" s="1521" t="s">
        <v>95</v>
      </c>
      <c r="I18" s="1519" t="s">
        <v>95</v>
      </c>
      <c r="J18" s="1520" t="s">
        <v>95</v>
      </c>
      <c r="K18" s="1521" t="s">
        <v>95</v>
      </c>
      <c r="L18" s="1519">
        <v>3</v>
      </c>
      <c r="M18" s="1520">
        <v>1</v>
      </c>
      <c r="N18" s="1521" t="s">
        <v>95</v>
      </c>
      <c r="O18" s="1519" t="s">
        <v>95</v>
      </c>
      <c r="P18" s="1520" t="s">
        <v>95</v>
      </c>
      <c r="Q18" s="1521" t="s">
        <v>95</v>
      </c>
      <c r="R18" s="1532" t="s">
        <v>95</v>
      </c>
      <c r="S18" s="714">
        <v>14</v>
      </c>
    </row>
    <row r="19" spans="1:19" ht="21.75" thickBot="1">
      <c r="A19" s="713">
        <v>14</v>
      </c>
      <c r="B19" s="723" t="s">
        <v>82</v>
      </c>
      <c r="C19" s="1523">
        <v>8</v>
      </c>
      <c r="D19" s="1524">
        <v>6</v>
      </c>
      <c r="E19" s="1525" t="s">
        <v>95</v>
      </c>
      <c r="F19" s="1526">
        <v>5</v>
      </c>
      <c r="G19" s="1527" t="s">
        <v>95</v>
      </c>
      <c r="H19" s="1528" t="s">
        <v>95</v>
      </c>
      <c r="I19" s="1526" t="s">
        <v>95</v>
      </c>
      <c r="J19" s="1527" t="s">
        <v>95</v>
      </c>
      <c r="K19" s="1528" t="s">
        <v>95</v>
      </c>
      <c r="L19" s="1526">
        <v>4</v>
      </c>
      <c r="M19" s="1527">
        <v>5</v>
      </c>
      <c r="N19" s="1528" t="s">
        <v>95</v>
      </c>
      <c r="O19" s="1526" t="s">
        <v>95</v>
      </c>
      <c r="P19" s="1527" t="s">
        <v>95</v>
      </c>
      <c r="Q19" s="1528" t="s">
        <v>95</v>
      </c>
      <c r="R19" s="1534" t="s">
        <v>95</v>
      </c>
      <c r="S19" s="714">
        <v>14</v>
      </c>
    </row>
    <row r="20" spans="1:19" ht="21.75" thickBot="1">
      <c r="A20" s="713">
        <v>15</v>
      </c>
      <c r="B20" s="723" t="s">
        <v>83</v>
      </c>
      <c r="C20" s="1516">
        <v>8</v>
      </c>
      <c r="D20" s="1517">
        <v>4</v>
      </c>
      <c r="E20" s="1518" t="s">
        <v>95</v>
      </c>
      <c r="F20" s="1519">
        <v>8</v>
      </c>
      <c r="G20" s="1520">
        <v>1</v>
      </c>
      <c r="H20" s="1521" t="s">
        <v>95</v>
      </c>
      <c r="I20" s="1519" t="s">
        <v>95</v>
      </c>
      <c r="J20" s="1520" t="s">
        <v>95</v>
      </c>
      <c r="K20" s="1521" t="s">
        <v>95</v>
      </c>
      <c r="L20" s="1519">
        <v>3</v>
      </c>
      <c r="M20" s="1520" t="s">
        <v>95</v>
      </c>
      <c r="N20" s="1521" t="s">
        <v>95</v>
      </c>
      <c r="O20" s="1519" t="s">
        <v>95</v>
      </c>
      <c r="P20" s="1520" t="s">
        <v>95</v>
      </c>
      <c r="Q20" s="1521" t="s">
        <v>95</v>
      </c>
      <c r="R20" s="1532" t="s">
        <v>95</v>
      </c>
      <c r="S20" s="714">
        <v>12</v>
      </c>
    </row>
    <row r="21" spans="1:19" ht="21.75" thickBot="1">
      <c r="A21" s="713">
        <v>16</v>
      </c>
      <c r="B21" s="723" t="s">
        <v>403</v>
      </c>
      <c r="C21" s="1523">
        <v>11</v>
      </c>
      <c r="D21" s="1524">
        <v>5</v>
      </c>
      <c r="E21" s="1525">
        <v>1</v>
      </c>
      <c r="F21" s="1526">
        <v>1</v>
      </c>
      <c r="G21" s="1527" t="s">
        <v>95</v>
      </c>
      <c r="H21" s="1528" t="s">
        <v>95</v>
      </c>
      <c r="I21" s="1526" t="s">
        <v>95</v>
      </c>
      <c r="J21" s="1527" t="s">
        <v>95</v>
      </c>
      <c r="K21" s="1528" t="s">
        <v>95</v>
      </c>
      <c r="L21" s="1526">
        <v>2</v>
      </c>
      <c r="M21" s="1527">
        <v>1</v>
      </c>
      <c r="N21" s="1528" t="s">
        <v>95</v>
      </c>
      <c r="O21" s="1526" t="s">
        <v>95</v>
      </c>
      <c r="P21" s="1527" t="s">
        <v>95</v>
      </c>
      <c r="Q21" s="1528" t="s">
        <v>95</v>
      </c>
      <c r="R21" s="1533">
        <v>13</v>
      </c>
      <c r="S21" s="714">
        <v>17</v>
      </c>
    </row>
    <row r="22" spans="1:19" ht="21.75" thickBot="1">
      <c r="A22" s="713">
        <v>17</v>
      </c>
      <c r="B22" s="723" t="s">
        <v>80</v>
      </c>
      <c r="C22" s="1516">
        <v>4</v>
      </c>
      <c r="D22" s="1517">
        <v>8</v>
      </c>
      <c r="E22" s="1518">
        <v>1</v>
      </c>
      <c r="F22" s="1519" t="s">
        <v>95</v>
      </c>
      <c r="G22" s="1520" t="s">
        <v>95</v>
      </c>
      <c r="H22" s="1521" t="s">
        <v>95</v>
      </c>
      <c r="I22" s="1519" t="s">
        <v>95</v>
      </c>
      <c r="J22" s="1520" t="s">
        <v>95</v>
      </c>
      <c r="K22" s="1521" t="s">
        <v>95</v>
      </c>
      <c r="L22" s="1519">
        <v>2</v>
      </c>
      <c r="M22" s="1520">
        <v>1</v>
      </c>
      <c r="N22" s="1521" t="s">
        <v>95</v>
      </c>
      <c r="O22" s="1519" t="s">
        <v>95</v>
      </c>
      <c r="P22" s="1520" t="s">
        <v>95</v>
      </c>
      <c r="Q22" s="1521" t="s">
        <v>95</v>
      </c>
      <c r="R22" s="1532">
        <v>10</v>
      </c>
      <c r="S22" s="714">
        <v>13</v>
      </c>
    </row>
    <row r="23" spans="1:19" ht="21.75" thickBot="1">
      <c r="A23" s="713">
        <v>18</v>
      </c>
      <c r="B23" s="723" t="s">
        <v>84</v>
      </c>
      <c r="C23" s="1523">
        <v>7</v>
      </c>
      <c r="D23" s="1524">
        <v>9</v>
      </c>
      <c r="E23" s="1525">
        <v>1</v>
      </c>
      <c r="F23" s="1526" t="s">
        <v>95</v>
      </c>
      <c r="G23" s="1527" t="s">
        <v>95</v>
      </c>
      <c r="H23" s="1528" t="s">
        <v>95</v>
      </c>
      <c r="I23" s="1526" t="s">
        <v>95</v>
      </c>
      <c r="J23" s="1527" t="s">
        <v>95</v>
      </c>
      <c r="K23" s="1528" t="s">
        <v>95</v>
      </c>
      <c r="L23" s="1526">
        <v>5</v>
      </c>
      <c r="M23" s="1527" t="s">
        <v>95</v>
      </c>
      <c r="N23" s="1528" t="s">
        <v>95</v>
      </c>
      <c r="O23" s="1526" t="s">
        <v>95</v>
      </c>
      <c r="P23" s="1527" t="s">
        <v>95</v>
      </c>
      <c r="Q23" s="1535" t="s">
        <v>95</v>
      </c>
      <c r="R23" s="1532">
        <v>12</v>
      </c>
      <c r="S23" s="714">
        <v>17</v>
      </c>
    </row>
    <row r="24" spans="1:19" ht="21.75" thickBot="1">
      <c r="A24" s="713">
        <v>19</v>
      </c>
      <c r="B24" s="723" t="s">
        <v>85</v>
      </c>
      <c r="C24" s="1516">
        <v>5</v>
      </c>
      <c r="D24" s="1517">
        <v>3</v>
      </c>
      <c r="E24" s="1518" t="s">
        <v>95</v>
      </c>
      <c r="F24" s="1519">
        <v>1</v>
      </c>
      <c r="G24" s="1520" t="s">
        <v>95</v>
      </c>
      <c r="H24" s="1521" t="s">
        <v>95</v>
      </c>
      <c r="I24" s="1519">
        <v>2</v>
      </c>
      <c r="J24" s="1520" t="s">
        <v>95</v>
      </c>
      <c r="K24" s="1521" t="s">
        <v>95</v>
      </c>
      <c r="L24" s="1519">
        <v>3</v>
      </c>
      <c r="M24" s="1520" t="s">
        <v>95</v>
      </c>
      <c r="N24" s="1521" t="s">
        <v>95</v>
      </c>
      <c r="O24" s="1519" t="s">
        <v>95</v>
      </c>
      <c r="P24" s="1520" t="s">
        <v>95</v>
      </c>
      <c r="Q24" s="1521" t="s">
        <v>95</v>
      </c>
      <c r="R24" s="1532">
        <v>2</v>
      </c>
      <c r="S24" s="714">
        <v>8</v>
      </c>
    </row>
    <row r="25" spans="1:19" ht="21.75" thickBot="1">
      <c r="A25" s="722">
        <v>20</v>
      </c>
      <c r="B25" s="721" t="s">
        <v>87</v>
      </c>
      <c r="C25" s="1516">
        <v>2</v>
      </c>
      <c r="D25" s="1531">
        <v>4</v>
      </c>
      <c r="E25" s="1536" t="s">
        <v>95</v>
      </c>
      <c r="F25" s="1519" t="s">
        <v>95</v>
      </c>
      <c r="G25" s="1520" t="s">
        <v>95</v>
      </c>
      <c r="H25" s="1521" t="s">
        <v>95</v>
      </c>
      <c r="I25" s="1519" t="s">
        <v>95</v>
      </c>
      <c r="J25" s="1520" t="s">
        <v>95</v>
      </c>
      <c r="K25" s="1521" t="s">
        <v>95</v>
      </c>
      <c r="L25" s="1519">
        <v>1</v>
      </c>
      <c r="M25" s="1520" t="s">
        <v>95</v>
      </c>
      <c r="N25" s="1521" t="s">
        <v>95</v>
      </c>
      <c r="O25" s="1519" t="s">
        <v>95</v>
      </c>
      <c r="P25" s="1520" t="s">
        <v>95</v>
      </c>
      <c r="Q25" s="1521" t="s">
        <v>95</v>
      </c>
      <c r="R25" s="1532">
        <v>5</v>
      </c>
      <c r="S25" s="714">
        <v>6</v>
      </c>
    </row>
    <row r="26" spans="1:19" ht="21.75" thickBot="1">
      <c r="A26" s="713">
        <v>21</v>
      </c>
      <c r="B26" s="712" t="s">
        <v>88</v>
      </c>
      <c r="C26" s="1537">
        <v>8</v>
      </c>
      <c r="D26" s="1538">
        <v>1</v>
      </c>
      <c r="E26" s="1539" t="s">
        <v>95</v>
      </c>
      <c r="F26" s="1540" t="s">
        <v>95</v>
      </c>
      <c r="G26" s="1541" t="s">
        <v>95</v>
      </c>
      <c r="H26" s="1542" t="s">
        <v>95</v>
      </c>
      <c r="I26" s="1543" t="s">
        <v>95</v>
      </c>
      <c r="J26" s="1541" t="s">
        <v>95</v>
      </c>
      <c r="K26" s="1542" t="s">
        <v>95</v>
      </c>
      <c r="L26" s="1543">
        <v>1</v>
      </c>
      <c r="M26" s="1541">
        <v>1</v>
      </c>
      <c r="N26" s="1542" t="s">
        <v>95</v>
      </c>
      <c r="O26" s="1543" t="s">
        <v>95</v>
      </c>
      <c r="P26" s="1541" t="s">
        <v>95</v>
      </c>
      <c r="Q26" s="1542" t="s">
        <v>95</v>
      </c>
      <c r="R26" s="1544">
        <v>7</v>
      </c>
      <c r="S26" s="704">
        <v>9</v>
      </c>
    </row>
    <row r="27" spans="1:19" ht="21" thickTop="1" thickBot="1">
      <c r="A27" s="3211" t="s">
        <v>924</v>
      </c>
      <c r="B27" s="3212"/>
      <c r="C27" s="1545">
        <f t="shared" ref="C27:S27" si="0">SUM(C6:C26)</f>
        <v>165</v>
      </c>
      <c r="D27" s="1546">
        <f t="shared" si="0"/>
        <v>96</v>
      </c>
      <c r="E27" s="1547">
        <f t="shared" si="0"/>
        <v>5</v>
      </c>
      <c r="F27" s="1545">
        <f t="shared" si="0"/>
        <v>60</v>
      </c>
      <c r="G27" s="1546">
        <f t="shared" si="0"/>
        <v>17</v>
      </c>
      <c r="H27" s="1547">
        <f t="shared" si="0"/>
        <v>0</v>
      </c>
      <c r="I27" s="1545">
        <f t="shared" si="0"/>
        <v>19</v>
      </c>
      <c r="J27" s="1546">
        <f t="shared" si="0"/>
        <v>5</v>
      </c>
      <c r="K27" s="1547">
        <f t="shared" si="0"/>
        <v>0</v>
      </c>
      <c r="L27" s="1545">
        <f t="shared" si="0"/>
        <v>58</v>
      </c>
      <c r="M27" s="1546">
        <f t="shared" si="0"/>
        <v>18</v>
      </c>
      <c r="N27" s="1547">
        <f t="shared" si="0"/>
        <v>0</v>
      </c>
      <c r="O27" s="1545">
        <f t="shared" si="0"/>
        <v>1</v>
      </c>
      <c r="P27" s="1546">
        <f t="shared" si="0"/>
        <v>2</v>
      </c>
      <c r="Q27" s="1547">
        <f t="shared" si="0"/>
        <v>0</v>
      </c>
      <c r="R27" s="3213">
        <f t="shared" si="0"/>
        <v>86</v>
      </c>
      <c r="S27" s="3215">
        <f t="shared" si="0"/>
        <v>266</v>
      </c>
    </row>
    <row r="28" spans="1:19" ht="24.75" thickBot="1">
      <c r="A28" s="3217" t="s">
        <v>845</v>
      </c>
      <c r="B28" s="3218"/>
      <c r="C28" s="3219">
        <f>SUM(C27:E27)</f>
        <v>266</v>
      </c>
      <c r="D28" s="3220"/>
      <c r="E28" s="3221"/>
      <c r="F28" s="3222">
        <f>SUM(F27:K27)</f>
        <v>101</v>
      </c>
      <c r="G28" s="3223"/>
      <c r="H28" s="3223"/>
      <c r="I28" s="3223"/>
      <c r="J28" s="3223"/>
      <c r="K28" s="3224"/>
      <c r="L28" s="3222">
        <f>SUM(L27:Q27)</f>
        <v>79</v>
      </c>
      <c r="M28" s="3223"/>
      <c r="N28" s="3223"/>
      <c r="O28" s="3223"/>
      <c r="P28" s="3223"/>
      <c r="Q28" s="3224"/>
      <c r="R28" s="3214"/>
      <c r="S28" s="3216"/>
    </row>
    <row r="29" spans="1:19" ht="16.5" customHeight="1" thickBot="1">
      <c r="A29" s="3257" t="s">
        <v>1703</v>
      </c>
      <c r="B29" s="3258"/>
      <c r="C29" s="3258"/>
      <c r="D29" s="3258"/>
      <c r="E29" s="3258"/>
      <c r="F29" s="3258"/>
      <c r="G29" s="3258"/>
      <c r="H29" s="3258"/>
      <c r="I29" s="3258"/>
      <c r="J29" s="3258"/>
      <c r="K29" s="3258"/>
      <c r="L29" s="3258"/>
      <c r="M29" s="3258"/>
      <c r="N29" s="3258"/>
      <c r="O29" s="3258"/>
      <c r="P29" s="3258"/>
      <c r="Q29" s="3258"/>
      <c r="R29" s="3259"/>
      <c r="S29" s="3260">
        <v>15</v>
      </c>
    </row>
    <row r="30" spans="1:19" ht="16.5" customHeight="1" thickBot="1">
      <c r="A30" s="3257" t="s">
        <v>1704</v>
      </c>
      <c r="B30" s="3258"/>
      <c r="C30" s="3258"/>
      <c r="D30" s="3258"/>
      <c r="E30" s="3258"/>
      <c r="F30" s="3258"/>
      <c r="G30" s="3258"/>
      <c r="H30" s="3258"/>
      <c r="I30" s="3258"/>
      <c r="J30" s="3258"/>
      <c r="K30" s="3258"/>
      <c r="L30" s="3258"/>
      <c r="M30" s="3258"/>
      <c r="N30" s="3258"/>
      <c r="O30" s="3258"/>
      <c r="P30" s="3258"/>
      <c r="Q30" s="3258"/>
      <c r="R30" s="3259"/>
      <c r="S30" s="3261"/>
    </row>
    <row r="31" spans="1:19" ht="16.5" customHeight="1" thickBot="1">
      <c r="A31" s="3257" t="s">
        <v>1705</v>
      </c>
      <c r="B31" s="3258"/>
      <c r="C31" s="3258"/>
      <c r="D31" s="3258"/>
      <c r="E31" s="3258"/>
      <c r="F31" s="3258"/>
      <c r="G31" s="3258"/>
      <c r="H31" s="3258"/>
      <c r="I31" s="3258"/>
      <c r="J31" s="3258"/>
      <c r="K31" s="3258"/>
      <c r="L31" s="3258"/>
      <c r="M31" s="3258"/>
      <c r="N31" s="3258"/>
      <c r="O31" s="3258"/>
      <c r="P31" s="3258"/>
      <c r="Q31" s="3258"/>
      <c r="R31" s="3259"/>
      <c r="S31" s="3261"/>
    </row>
    <row r="32" spans="1:19" ht="15" customHeight="1" thickBot="1">
      <c r="A32" s="3263" t="s">
        <v>1706</v>
      </c>
      <c r="B32" s="3264"/>
      <c r="C32" s="3264"/>
      <c r="D32" s="3264"/>
      <c r="E32" s="3264"/>
      <c r="F32" s="3264"/>
      <c r="G32" s="3264"/>
      <c r="H32" s="3264"/>
      <c r="I32" s="3264"/>
      <c r="J32" s="3264"/>
      <c r="K32" s="3264"/>
      <c r="L32" s="3264"/>
      <c r="M32" s="3264"/>
      <c r="N32" s="3264"/>
      <c r="O32" s="3264"/>
      <c r="P32" s="3264"/>
      <c r="Q32" s="3264"/>
      <c r="R32" s="3265"/>
      <c r="S32" s="3262"/>
    </row>
    <row r="33" spans="1:20" ht="15" customHeight="1" thickBot="1">
      <c r="A33" s="3263" t="s">
        <v>1707</v>
      </c>
      <c r="B33" s="3264"/>
      <c r="C33" s="3264"/>
      <c r="D33" s="3264"/>
      <c r="E33" s="3264"/>
      <c r="F33" s="3264"/>
      <c r="G33" s="3264"/>
      <c r="H33" s="3264"/>
      <c r="I33" s="3264"/>
      <c r="J33" s="3264"/>
      <c r="K33" s="3264"/>
      <c r="L33" s="3264"/>
      <c r="M33" s="3264"/>
      <c r="N33" s="3264"/>
      <c r="O33" s="3264"/>
      <c r="P33" s="3264"/>
      <c r="Q33" s="3264"/>
      <c r="R33" s="3265"/>
      <c r="S33" s="1548">
        <v>84</v>
      </c>
    </row>
    <row r="34" spans="1:20" ht="26.25" thickBot="1">
      <c r="A34" s="3254" t="s">
        <v>1708</v>
      </c>
      <c r="B34" s="3255"/>
      <c r="C34" s="3255"/>
      <c r="D34" s="3255"/>
      <c r="E34" s="3255"/>
      <c r="F34" s="3255"/>
      <c r="G34" s="3255"/>
      <c r="H34" s="3255"/>
      <c r="I34" s="3255"/>
      <c r="J34" s="3255"/>
      <c r="K34" s="3255"/>
      <c r="L34" s="3255"/>
      <c r="M34" s="3255"/>
      <c r="N34" s="3255"/>
      <c r="O34" s="3255"/>
      <c r="P34" s="3255"/>
      <c r="Q34" s="3255"/>
      <c r="R34" s="3256"/>
      <c r="S34" s="699">
        <v>356</v>
      </c>
    </row>
    <row r="35" spans="1:20" ht="18">
      <c r="A35" s="3129" t="s">
        <v>917</v>
      </c>
      <c r="B35" s="3130"/>
      <c r="C35" s="3130"/>
      <c r="D35" s="3130"/>
      <c r="E35" s="3130"/>
      <c r="F35" s="3130"/>
      <c r="G35" s="3130"/>
      <c r="H35" s="3130"/>
      <c r="I35" s="698"/>
      <c r="J35" s="698"/>
      <c r="K35" s="698"/>
      <c r="L35" s="698"/>
      <c r="M35" s="698"/>
      <c r="N35" s="698"/>
      <c r="O35" s="698"/>
      <c r="P35" s="698"/>
      <c r="Q35" s="698"/>
      <c r="R35" s="698"/>
      <c r="S35" s="698"/>
    </row>
    <row r="36" spans="1:20">
      <c r="A36" s="697"/>
      <c r="B36" s="697"/>
      <c r="C36" s="697"/>
      <c r="D36" s="697"/>
      <c r="E36" s="697"/>
      <c r="F36" s="697"/>
      <c r="G36" s="697"/>
      <c r="H36" s="697"/>
      <c r="I36" s="697"/>
      <c r="J36" s="697"/>
      <c r="K36" s="697"/>
      <c r="L36" s="697"/>
      <c r="M36" s="697"/>
      <c r="N36" s="697"/>
      <c r="O36" s="697"/>
      <c r="P36" s="697"/>
      <c r="Q36" s="697"/>
      <c r="R36" s="697"/>
      <c r="S36" s="697"/>
      <c r="T36" s="697"/>
    </row>
  </sheetData>
  <mergeCells count="42">
    <mergeCell ref="S2:S5"/>
    <mergeCell ref="F3:H3"/>
    <mergeCell ref="A34:R34"/>
    <mergeCell ref="A35:H35"/>
    <mergeCell ref="A29:R29"/>
    <mergeCell ref="S29:S32"/>
    <mergeCell ref="A30:R30"/>
    <mergeCell ref="A31:R31"/>
    <mergeCell ref="A32:R32"/>
    <mergeCell ref="A33:R33"/>
    <mergeCell ref="S27:S28"/>
    <mergeCell ref="A28:B28"/>
    <mergeCell ref="C28:E28"/>
    <mergeCell ref="F28:K28"/>
    <mergeCell ref="L28:Q28"/>
    <mergeCell ref="F4:F5"/>
    <mergeCell ref="G4:G5"/>
    <mergeCell ref="Q4:Q5"/>
    <mergeCell ref="A27:B27"/>
    <mergeCell ref="R27:R28"/>
    <mergeCell ref="K4:K5"/>
    <mergeCell ref="L4:L5"/>
    <mergeCell ref="M4:M5"/>
    <mergeCell ref="N4:N5"/>
    <mergeCell ref="O4:O5"/>
    <mergeCell ref="P4:P5"/>
    <mergeCell ref="A1:R1"/>
    <mergeCell ref="A2:A5"/>
    <mergeCell ref="B2:B5"/>
    <mergeCell ref="C2:E3"/>
    <mergeCell ref="F2:K2"/>
    <mergeCell ref="L2:Q2"/>
    <mergeCell ref="R2:R5"/>
    <mergeCell ref="H4:H5"/>
    <mergeCell ref="I4:I5"/>
    <mergeCell ref="J4:J5"/>
    <mergeCell ref="I3:K3"/>
    <mergeCell ref="L3:N3"/>
    <mergeCell ref="O3:Q3"/>
    <mergeCell ref="C4:C5"/>
    <mergeCell ref="D4:D5"/>
    <mergeCell ref="E4:E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1:Q27"/>
  <sheetViews>
    <sheetView showGridLines="0" rightToLeft="1" zoomScaleNormal="100" workbookViewId="0">
      <selection sqref="A1:Q27"/>
    </sheetView>
  </sheetViews>
  <sheetFormatPr defaultColWidth="9.125" defaultRowHeight="12.75"/>
  <cols>
    <col min="1" max="1" width="14.625" style="696" bestFit="1" customWidth="1"/>
    <col min="2" max="3" width="8.125" style="696" bestFit="1" customWidth="1"/>
    <col min="4" max="4" width="9.125" style="696" bestFit="1" customWidth="1"/>
    <col min="5" max="14" width="8.125" style="696" bestFit="1" customWidth="1"/>
    <col min="15" max="15" width="16.125" style="696" customWidth="1"/>
    <col min="16" max="16" width="9.375" style="696" bestFit="1" customWidth="1"/>
    <col min="17" max="17" width="11.125" style="696" bestFit="1" customWidth="1"/>
    <col min="18" max="16384" width="9.125" style="696"/>
  </cols>
  <sheetData>
    <row r="1" spans="1:17" ht="22.5" customHeight="1" thickBot="1">
      <c r="A1" s="3266" t="s">
        <v>1709</v>
      </c>
      <c r="B1" s="3266"/>
      <c r="C1" s="3266"/>
      <c r="D1" s="3266"/>
      <c r="E1" s="3266"/>
      <c r="F1" s="3266"/>
      <c r="G1" s="3266"/>
      <c r="H1" s="3266"/>
      <c r="I1" s="3266"/>
      <c r="J1" s="3266"/>
      <c r="K1" s="3266"/>
      <c r="L1" s="3266"/>
      <c r="M1" s="3266"/>
      <c r="N1" s="3266"/>
      <c r="O1" s="3266"/>
      <c r="P1" s="3266"/>
      <c r="Q1" s="3266"/>
    </row>
    <row r="2" spans="1:17" ht="20.25" thickBot="1">
      <c r="A2" s="3267" t="s">
        <v>830</v>
      </c>
      <c r="B2" s="1549" t="s">
        <v>1710</v>
      </c>
      <c r="C2" s="1550" t="s">
        <v>1711</v>
      </c>
      <c r="D2" s="1550" t="s">
        <v>1712</v>
      </c>
      <c r="E2" s="1550" t="s">
        <v>1713</v>
      </c>
      <c r="F2" s="1550" t="s">
        <v>1714</v>
      </c>
      <c r="G2" s="1550" t="s">
        <v>1715</v>
      </c>
      <c r="H2" s="1550" t="s">
        <v>1716</v>
      </c>
      <c r="I2" s="1550" t="s">
        <v>1717</v>
      </c>
      <c r="J2" s="3269" t="s">
        <v>1718</v>
      </c>
      <c r="K2" s="1550" t="s">
        <v>1719</v>
      </c>
      <c r="L2" s="1550" t="s">
        <v>1720</v>
      </c>
      <c r="M2" s="1550" t="s">
        <v>1721</v>
      </c>
      <c r="N2" s="1550" t="s">
        <v>1722</v>
      </c>
      <c r="O2" s="1551" t="s">
        <v>1723</v>
      </c>
      <c r="P2" s="3271" t="s">
        <v>387</v>
      </c>
      <c r="Q2" s="3273" t="s">
        <v>1724</v>
      </c>
    </row>
    <row r="3" spans="1:17" ht="21" thickTop="1" thickBot="1">
      <c r="A3" s="3268"/>
      <c r="B3" s="1552" t="s">
        <v>1725</v>
      </c>
      <c r="C3" s="1553" t="s">
        <v>1726</v>
      </c>
      <c r="D3" s="1553" t="s">
        <v>1727</v>
      </c>
      <c r="E3" s="1553" t="s">
        <v>1728</v>
      </c>
      <c r="F3" s="1553" t="s">
        <v>1729</v>
      </c>
      <c r="G3" s="1553" t="s">
        <v>1730</v>
      </c>
      <c r="H3" s="1553" t="s">
        <v>1731</v>
      </c>
      <c r="I3" s="1553" t="s">
        <v>1732</v>
      </c>
      <c r="J3" s="3270"/>
      <c r="K3" s="1553" t="s">
        <v>1733</v>
      </c>
      <c r="L3" s="1553" t="s">
        <v>1734</v>
      </c>
      <c r="M3" s="1553" t="s">
        <v>1735</v>
      </c>
      <c r="N3" s="1553" t="s">
        <v>1736</v>
      </c>
      <c r="O3" s="1554" t="s">
        <v>1737</v>
      </c>
      <c r="P3" s="3272"/>
      <c r="Q3" s="3274"/>
    </row>
    <row r="4" spans="1:17" ht="21">
      <c r="A4" s="1555" t="s">
        <v>78</v>
      </c>
      <c r="B4" s="1556">
        <v>48</v>
      </c>
      <c r="C4" s="1557">
        <v>698</v>
      </c>
      <c r="D4" s="1557">
        <v>830</v>
      </c>
      <c r="E4" s="1557">
        <v>401</v>
      </c>
      <c r="F4" s="1557">
        <v>31</v>
      </c>
      <c r="G4" s="1557">
        <v>26</v>
      </c>
      <c r="H4" s="1557">
        <v>0</v>
      </c>
      <c r="I4" s="1557">
        <v>0</v>
      </c>
      <c r="J4" s="1557">
        <v>0</v>
      </c>
      <c r="K4" s="1557">
        <v>9</v>
      </c>
      <c r="L4" s="1557">
        <v>1</v>
      </c>
      <c r="M4" s="1557">
        <v>0</v>
      </c>
      <c r="N4" s="1557">
        <v>6</v>
      </c>
      <c r="O4" s="1558">
        <v>38</v>
      </c>
      <c r="P4" s="1559">
        <f>SUM(B4:N4)</f>
        <v>2050</v>
      </c>
      <c r="Q4" s="1560">
        <v>18522</v>
      </c>
    </row>
    <row r="5" spans="1:17" ht="21">
      <c r="A5" s="1561" t="s">
        <v>70</v>
      </c>
      <c r="B5" s="1562">
        <v>21</v>
      </c>
      <c r="C5" s="1563">
        <v>722</v>
      </c>
      <c r="D5" s="1563">
        <v>311</v>
      </c>
      <c r="E5" s="1563">
        <v>218</v>
      </c>
      <c r="F5" s="1563">
        <v>4</v>
      </c>
      <c r="G5" s="1563">
        <v>14</v>
      </c>
      <c r="H5" s="1563">
        <v>0</v>
      </c>
      <c r="I5" s="1563">
        <v>0</v>
      </c>
      <c r="J5" s="1563">
        <v>0</v>
      </c>
      <c r="K5" s="1563">
        <v>57</v>
      </c>
      <c r="L5" s="1563">
        <v>9</v>
      </c>
      <c r="M5" s="1563">
        <v>0</v>
      </c>
      <c r="N5" s="1563">
        <v>0</v>
      </c>
      <c r="O5" s="1564">
        <v>24</v>
      </c>
      <c r="P5" s="1565">
        <f t="shared" ref="P5:P24" si="0">SUM(B5:N5)</f>
        <v>1356</v>
      </c>
      <c r="Q5" s="1566">
        <v>8003</v>
      </c>
    </row>
    <row r="6" spans="1:17" ht="21">
      <c r="A6" s="1561" t="s">
        <v>79</v>
      </c>
      <c r="B6" s="1567">
        <v>639</v>
      </c>
      <c r="C6" s="1568">
        <v>273</v>
      </c>
      <c r="D6" s="1568">
        <v>1360</v>
      </c>
      <c r="E6" s="1568">
        <v>187</v>
      </c>
      <c r="F6" s="1568">
        <v>5</v>
      </c>
      <c r="G6" s="1568">
        <v>20</v>
      </c>
      <c r="H6" s="1568">
        <v>0</v>
      </c>
      <c r="I6" s="1568">
        <v>0</v>
      </c>
      <c r="J6" s="1568">
        <v>0</v>
      </c>
      <c r="K6" s="1568">
        <v>4</v>
      </c>
      <c r="L6" s="1568">
        <v>3</v>
      </c>
      <c r="M6" s="1568">
        <v>4</v>
      </c>
      <c r="N6" s="1568">
        <v>1</v>
      </c>
      <c r="O6" s="1569">
        <v>38</v>
      </c>
      <c r="P6" s="1565">
        <f t="shared" si="0"/>
        <v>2496</v>
      </c>
      <c r="Q6" s="1566">
        <v>31149</v>
      </c>
    </row>
    <row r="7" spans="1:17" ht="21">
      <c r="A7" s="1561" t="s">
        <v>71</v>
      </c>
      <c r="B7" s="1567">
        <v>311</v>
      </c>
      <c r="C7" s="1568">
        <v>207</v>
      </c>
      <c r="D7" s="1568">
        <v>390</v>
      </c>
      <c r="E7" s="1568">
        <v>7</v>
      </c>
      <c r="F7" s="1568">
        <v>36</v>
      </c>
      <c r="G7" s="1568">
        <v>2</v>
      </c>
      <c r="H7" s="1568">
        <v>0</v>
      </c>
      <c r="I7" s="1568">
        <v>0</v>
      </c>
      <c r="J7" s="1568">
        <v>0</v>
      </c>
      <c r="K7" s="1568">
        <v>127</v>
      </c>
      <c r="L7" s="1568">
        <v>5</v>
      </c>
      <c r="M7" s="1568">
        <v>1</v>
      </c>
      <c r="N7" s="1568">
        <v>0</v>
      </c>
      <c r="O7" s="1569">
        <v>64</v>
      </c>
      <c r="P7" s="1565">
        <f t="shared" si="0"/>
        <v>1086</v>
      </c>
      <c r="Q7" s="1566">
        <v>15952</v>
      </c>
    </row>
    <row r="8" spans="1:17" ht="21">
      <c r="A8" s="1561" t="s">
        <v>87</v>
      </c>
      <c r="B8" s="1567">
        <v>192</v>
      </c>
      <c r="C8" s="1568">
        <v>112</v>
      </c>
      <c r="D8" s="1568">
        <v>574</v>
      </c>
      <c r="E8" s="1568">
        <v>202</v>
      </c>
      <c r="F8" s="1568">
        <v>20</v>
      </c>
      <c r="G8" s="1568">
        <v>21</v>
      </c>
      <c r="H8" s="1568">
        <v>0</v>
      </c>
      <c r="I8" s="1568">
        <v>1</v>
      </c>
      <c r="J8" s="1568">
        <v>0</v>
      </c>
      <c r="K8" s="1568">
        <v>216</v>
      </c>
      <c r="L8" s="1568">
        <v>0</v>
      </c>
      <c r="M8" s="1568">
        <v>0</v>
      </c>
      <c r="N8" s="1568">
        <v>0</v>
      </c>
      <c r="O8" s="1569"/>
      <c r="P8" s="1565">
        <f t="shared" si="0"/>
        <v>1338</v>
      </c>
      <c r="Q8" s="1566">
        <v>6571</v>
      </c>
    </row>
    <row r="9" spans="1:17" ht="21">
      <c r="A9" s="1561" t="s">
        <v>68</v>
      </c>
      <c r="B9" s="1567">
        <v>34</v>
      </c>
      <c r="C9" s="1568">
        <v>0</v>
      </c>
      <c r="D9" s="1568">
        <v>46</v>
      </c>
      <c r="E9" s="1568">
        <v>0</v>
      </c>
      <c r="F9" s="1568">
        <v>3</v>
      </c>
      <c r="G9" s="1568">
        <v>0</v>
      </c>
      <c r="H9" s="1568">
        <v>0</v>
      </c>
      <c r="I9" s="1568">
        <v>0</v>
      </c>
      <c r="J9" s="1568">
        <v>0</v>
      </c>
      <c r="K9" s="1568">
        <v>133</v>
      </c>
      <c r="L9" s="1568">
        <v>0</v>
      </c>
      <c r="M9" s="1568">
        <v>1</v>
      </c>
      <c r="N9" s="1568">
        <v>4</v>
      </c>
      <c r="O9" s="1569">
        <v>40</v>
      </c>
      <c r="P9" s="1565">
        <f t="shared" si="0"/>
        <v>221</v>
      </c>
      <c r="Q9" s="1566">
        <v>8733</v>
      </c>
    </row>
    <row r="10" spans="1:17" ht="21">
      <c r="A10" s="1561" t="s">
        <v>403</v>
      </c>
      <c r="B10" s="1567">
        <v>0</v>
      </c>
      <c r="C10" s="1568">
        <v>627</v>
      </c>
      <c r="D10" s="1568">
        <v>1178</v>
      </c>
      <c r="E10" s="1568">
        <v>0</v>
      </c>
      <c r="F10" s="1568">
        <v>2</v>
      </c>
      <c r="G10" s="1568">
        <v>0</v>
      </c>
      <c r="H10" s="1568">
        <v>0</v>
      </c>
      <c r="I10" s="1568">
        <v>0</v>
      </c>
      <c r="J10" s="1568">
        <v>0</v>
      </c>
      <c r="K10" s="1568">
        <v>1</v>
      </c>
      <c r="L10" s="1568">
        <v>0</v>
      </c>
      <c r="M10" s="1568">
        <v>0</v>
      </c>
      <c r="N10" s="1568">
        <v>0</v>
      </c>
      <c r="O10" s="1569">
        <v>5</v>
      </c>
      <c r="P10" s="1565">
        <f t="shared" si="0"/>
        <v>1808</v>
      </c>
      <c r="Q10" s="1566">
        <v>11185</v>
      </c>
    </row>
    <row r="11" spans="1:17" ht="21">
      <c r="A11" s="1561" t="s">
        <v>1738</v>
      </c>
      <c r="B11" s="1562">
        <v>40</v>
      </c>
      <c r="C11" s="1563">
        <v>21</v>
      </c>
      <c r="D11" s="1563">
        <v>1033</v>
      </c>
      <c r="E11" s="1563">
        <v>0</v>
      </c>
      <c r="F11" s="1563">
        <v>20</v>
      </c>
      <c r="G11" s="1563">
        <v>0</v>
      </c>
      <c r="H11" s="1563">
        <v>0</v>
      </c>
      <c r="I11" s="1563">
        <v>0</v>
      </c>
      <c r="J11" s="1563">
        <v>0</v>
      </c>
      <c r="K11" s="1563">
        <v>4</v>
      </c>
      <c r="L11" s="1563">
        <v>6</v>
      </c>
      <c r="M11" s="1563">
        <v>0</v>
      </c>
      <c r="N11" s="1563">
        <v>0</v>
      </c>
      <c r="O11" s="1563">
        <v>5</v>
      </c>
      <c r="P11" s="1565">
        <f t="shared" si="0"/>
        <v>1124</v>
      </c>
      <c r="Q11" s="1566">
        <v>10389</v>
      </c>
    </row>
    <row r="12" spans="1:17" ht="21">
      <c r="A12" s="1561" t="s">
        <v>1415</v>
      </c>
      <c r="B12" s="1567">
        <v>0</v>
      </c>
      <c r="C12" s="1568">
        <v>12</v>
      </c>
      <c r="D12" s="1568">
        <v>1986</v>
      </c>
      <c r="E12" s="1568">
        <v>222</v>
      </c>
      <c r="F12" s="1568">
        <v>2</v>
      </c>
      <c r="G12" s="1568">
        <v>5</v>
      </c>
      <c r="H12" s="1568">
        <v>0</v>
      </c>
      <c r="I12" s="1568">
        <v>0</v>
      </c>
      <c r="J12" s="1568">
        <v>0</v>
      </c>
      <c r="K12" s="1568">
        <v>10</v>
      </c>
      <c r="L12" s="1568">
        <v>0</v>
      </c>
      <c r="M12" s="1568">
        <v>0</v>
      </c>
      <c r="N12" s="1568">
        <v>2</v>
      </c>
      <c r="O12" s="1569">
        <v>31</v>
      </c>
      <c r="P12" s="1565">
        <f t="shared" si="0"/>
        <v>2239</v>
      </c>
      <c r="Q12" s="1566">
        <v>21527</v>
      </c>
    </row>
    <row r="13" spans="1:17" ht="21">
      <c r="A13" s="1561" t="s">
        <v>80</v>
      </c>
      <c r="B13" s="1570">
        <v>425</v>
      </c>
      <c r="C13" s="1571">
        <v>0</v>
      </c>
      <c r="D13" s="1571">
        <v>2552</v>
      </c>
      <c r="E13" s="1571">
        <v>0</v>
      </c>
      <c r="F13" s="1571">
        <v>0</v>
      </c>
      <c r="G13" s="1571">
        <v>102</v>
      </c>
      <c r="H13" s="1571">
        <v>0</v>
      </c>
      <c r="I13" s="1571">
        <v>0</v>
      </c>
      <c r="J13" s="1571">
        <v>0</v>
      </c>
      <c r="K13" s="1571">
        <v>16</v>
      </c>
      <c r="L13" s="1571">
        <v>7</v>
      </c>
      <c r="M13" s="1571">
        <v>0</v>
      </c>
      <c r="N13" s="1571">
        <v>0</v>
      </c>
      <c r="O13" s="1572">
        <v>35</v>
      </c>
      <c r="P13" s="1573">
        <f t="shared" si="0"/>
        <v>3102</v>
      </c>
      <c r="Q13" s="1566">
        <v>12254.7</v>
      </c>
    </row>
    <row r="14" spans="1:17" ht="21">
      <c r="A14" s="1561" t="s">
        <v>72</v>
      </c>
      <c r="B14" s="1567">
        <v>31</v>
      </c>
      <c r="C14" s="1568">
        <v>344</v>
      </c>
      <c r="D14" s="1568">
        <v>50</v>
      </c>
      <c r="E14" s="1568">
        <v>870</v>
      </c>
      <c r="F14" s="1568">
        <v>24</v>
      </c>
      <c r="G14" s="1568">
        <v>88</v>
      </c>
      <c r="H14" s="1568">
        <v>0</v>
      </c>
      <c r="I14" s="1568">
        <v>0</v>
      </c>
      <c r="J14" s="1568">
        <v>0</v>
      </c>
      <c r="K14" s="1568">
        <v>27</v>
      </c>
      <c r="L14" s="1568">
        <v>0</v>
      </c>
      <c r="M14" s="1568">
        <v>5</v>
      </c>
      <c r="N14" s="1568">
        <v>5</v>
      </c>
      <c r="O14" s="1569">
        <v>95</v>
      </c>
      <c r="P14" s="1565">
        <f t="shared" si="0"/>
        <v>1444</v>
      </c>
      <c r="Q14" s="1566">
        <v>8782</v>
      </c>
    </row>
    <row r="15" spans="1:17" ht="21">
      <c r="A15" s="1561" t="s">
        <v>1739</v>
      </c>
      <c r="B15" s="1570">
        <v>1206</v>
      </c>
      <c r="C15" s="1571">
        <v>1410</v>
      </c>
      <c r="D15" s="1571">
        <v>795</v>
      </c>
      <c r="E15" s="1571">
        <v>231</v>
      </c>
      <c r="F15" s="1571">
        <v>0</v>
      </c>
      <c r="G15" s="1571">
        <v>16</v>
      </c>
      <c r="H15" s="1571">
        <v>61</v>
      </c>
      <c r="I15" s="1571">
        <v>8</v>
      </c>
      <c r="J15" s="1571">
        <v>0</v>
      </c>
      <c r="K15" s="1571">
        <v>16</v>
      </c>
      <c r="L15" s="1571">
        <v>0</v>
      </c>
      <c r="M15" s="1571">
        <v>0</v>
      </c>
      <c r="N15" s="1571">
        <v>8</v>
      </c>
      <c r="O15" s="1572">
        <v>33</v>
      </c>
      <c r="P15" s="1573">
        <f t="shared" si="0"/>
        <v>3751</v>
      </c>
      <c r="Q15" s="1566">
        <v>18973</v>
      </c>
    </row>
    <row r="16" spans="1:17" ht="21">
      <c r="A16" s="1561" t="s">
        <v>1740</v>
      </c>
      <c r="B16" s="1570">
        <v>0</v>
      </c>
      <c r="C16" s="1571">
        <v>50</v>
      </c>
      <c r="D16" s="1571">
        <v>175</v>
      </c>
      <c r="E16" s="1571">
        <v>0</v>
      </c>
      <c r="F16" s="1571">
        <v>0</v>
      </c>
      <c r="G16" s="1571">
        <v>0</v>
      </c>
      <c r="H16" s="1571">
        <v>0</v>
      </c>
      <c r="I16" s="1571">
        <v>0</v>
      </c>
      <c r="J16" s="1571">
        <v>0</v>
      </c>
      <c r="K16" s="1571">
        <v>40</v>
      </c>
      <c r="L16" s="1571">
        <v>0</v>
      </c>
      <c r="M16" s="1571">
        <v>0</v>
      </c>
      <c r="N16" s="1571">
        <v>0</v>
      </c>
      <c r="O16" s="1572">
        <v>0</v>
      </c>
      <c r="P16" s="1573">
        <f t="shared" si="0"/>
        <v>265</v>
      </c>
      <c r="Q16" s="1566">
        <v>4377</v>
      </c>
    </row>
    <row r="17" spans="1:17" ht="21">
      <c r="A17" s="1561" t="s">
        <v>77</v>
      </c>
      <c r="B17" s="1570">
        <v>450</v>
      </c>
      <c r="C17" s="1571">
        <v>302</v>
      </c>
      <c r="D17" s="1571">
        <v>142</v>
      </c>
      <c r="E17" s="1571">
        <v>197</v>
      </c>
      <c r="F17" s="1571">
        <v>4</v>
      </c>
      <c r="G17" s="1571">
        <v>4</v>
      </c>
      <c r="H17" s="1571">
        <v>8</v>
      </c>
      <c r="I17" s="1571">
        <v>1</v>
      </c>
      <c r="J17" s="1571">
        <v>0</v>
      </c>
      <c r="K17" s="1571">
        <v>8</v>
      </c>
      <c r="L17" s="1571">
        <v>1</v>
      </c>
      <c r="M17" s="1571">
        <v>1</v>
      </c>
      <c r="N17" s="1571">
        <v>6</v>
      </c>
      <c r="O17" s="1572">
        <v>31</v>
      </c>
      <c r="P17" s="1573">
        <f t="shared" si="0"/>
        <v>1124</v>
      </c>
      <c r="Q17" s="1566">
        <v>17972</v>
      </c>
    </row>
    <row r="18" spans="1:17" ht="21">
      <c r="A18" s="1561" t="s">
        <v>69</v>
      </c>
      <c r="B18" s="1570">
        <v>3</v>
      </c>
      <c r="C18" s="1571">
        <v>55</v>
      </c>
      <c r="D18" s="1571">
        <v>263</v>
      </c>
      <c r="E18" s="1571">
        <v>248</v>
      </c>
      <c r="F18" s="1571">
        <v>6</v>
      </c>
      <c r="G18" s="1571">
        <v>0</v>
      </c>
      <c r="H18" s="1571">
        <v>1</v>
      </c>
      <c r="I18" s="1571">
        <v>22</v>
      </c>
      <c r="J18" s="1571">
        <v>0</v>
      </c>
      <c r="K18" s="1571">
        <v>0</v>
      </c>
      <c r="L18" s="1571">
        <v>3</v>
      </c>
      <c r="M18" s="1571">
        <v>0</v>
      </c>
      <c r="N18" s="1571">
        <v>0</v>
      </c>
      <c r="O18" s="1572">
        <v>1</v>
      </c>
      <c r="P18" s="1573">
        <f t="shared" si="0"/>
        <v>601</v>
      </c>
      <c r="Q18" s="1566">
        <v>5421</v>
      </c>
    </row>
    <row r="19" spans="1:17" ht="21">
      <c r="A19" s="1561" t="s">
        <v>86</v>
      </c>
      <c r="B19" s="1570">
        <v>8</v>
      </c>
      <c r="C19" s="1571">
        <v>0</v>
      </c>
      <c r="D19" s="1571">
        <v>155</v>
      </c>
      <c r="E19" s="1571">
        <v>212</v>
      </c>
      <c r="F19" s="1571">
        <v>2</v>
      </c>
      <c r="G19" s="1571">
        <v>29</v>
      </c>
      <c r="H19" s="1571">
        <v>0</v>
      </c>
      <c r="I19" s="1571">
        <v>0</v>
      </c>
      <c r="J19" s="1571">
        <v>0</v>
      </c>
      <c r="K19" s="1571">
        <v>4</v>
      </c>
      <c r="L19" s="1571">
        <v>8</v>
      </c>
      <c r="M19" s="1571">
        <v>0</v>
      </c>
      <c r="N19" s="1571">
        <v>5</v>
      </c>
      <c r="O19" s="1572">
        <v>4</v>
      </c>
      <c r="P19" s="1573">
        <f t="shared" si="0"/>
        <v>423</v>
      </c>
      <c r="Q19" s="1566">
        <v>4212</v>
      </c>
    </row>
    <row r="20" spans="1:17" ht="21">
      <c r="A20" s="1561" t="s">
        <v>84</v>
      </c>
      <c r="B20" s="1570">
        <v>19</v>
      </c>
      <c r="C20" s="1571">
        <v>179</v>
      </c>
      <c r="D20" s="1571">
        <v>2765</v>
      </c>
      <c r="E20" s="1571">
        <v>0</v>
      </c>
      <c r="F20" s="1571">
        <v>0</v>
      </c>
      <c r="G20" s="1571">
        <v>0</v>
      </c>
      <c r="H20" s="1571">
        <v>0</v>
      </c>
      <c r="I20" s="1571">
        <v>0</v>
      </c>
      <c r="J20" s="1571">
        <v>0</v>
      </c>
      <c r="K20" s="1571">
        <v>238</v>
      </c>
      <c r="L20" s="1571">
        <v>8</v>
      </c>
      <c r="M20" s="1571">
        <v>0</v>
      </c>
      <c r="N20" s="1571">
        <v>1</v>
      </c>
      <c r="O20" s="1572">
        <v>50</v>
      </c>
      <c r="P20" s="1573">
        <f t="shared" si="0"/>
        <v>3210</v>
      </c>
      <c r="Q20" s="1566">
        <v>24496.3</v>
      </c>
    </row>
    <row r="21" spans="1:17" ht="21">
      <c r="A21" s="1561" t="s">
        <v>83</v>
      </c>
      <c r="B21" s="1574">
        <v>0</v>
      </c>
      <c r="C21" s="1575">
        <v>0</v>
      </c>
      <c r="D21" s="1575">
        <v>1784</v>
      </c>
      <c r="E21" s="1575">
        <v>0</v>
      </c>
      <c r="F21" s="1575">
        <v>2</v>
      </c>
      <c r="G21" s="1575">
        <v>2</v>
      </c>
      <c r="H21" s="1575">
        <v>0</v>
      </c>
      <c r="I21" s="1575">
        <v>0</v>
      </c>
      <c r="J21" s="1575">
        <v>0</v>
      </c>
      <c r="K21" s="1575">
        <v>11</v>
      </c>
      <c r="L21" s="1575">
        <v>0</v>
      </c>
      <c r="M21" s="1575">
        <v>0</v>
      </c>
      <c r="N21" s="1575">
        <v>0</v>
      </c>
      <c r="O21" s="1576">
        <v>48</v>
      </c>
      <c r="P21" s="1577">
        <f t="shared" si="0"/>
        <v>1799</v>
      </c>
      <c r="Q21" s="1578">
        <v>35906.100000000035</v>
      </c>
    </row>
    <row r="22" spans="1:17" ht="21">
      <c r="A22" s="1561" t="s">
        <v>85</v>
      </c>
      <c r="B22" s="1574">
        <v>1</v>
      </c>
      <c r="C22" s="1575">
        <v>393</v>
      </c>
      <c r="D22" s="1575">
        <v>1200</v>
      </c>
      <c r="E22" s="1575">
        <v>0</v>
      </c>
      <c r="F22" s="1575">
        <v>1</v>
      </c>
      <c r="G22" s="1575">
        <v>1</v>
      </c>
      <c r="H22" s="1575">
        <v>0</v>
      </c>
      <c r="I22" s="1575">
        <v>0</v>
      </c>
      <c r="J22" s="1575">
        <v>0</v>
      </c>
      <c r="K22" s="1575">
        <v>0</v>
      </c>
      <c r="L22" s="1575">
        <v>1</v>
      </c>
      <c r="M22" s="1575">
        <v>0</v>
      </c>
      <c r="N22" s="1575">
        <v>32</v>
      </c>
      <c r="O22" s="1576">
        <v>0</v>
      </c>
      <c r="P22" s="1577">
        <f t="shared" si="0"/>
        <v>1629</v>
      </c>
      <c r="Q22" s="1577">
        <v>26069</v>
      </c>
    </row>
    <row r="23" spans="1:17" ht="21">
      <c r="A23" s="1561" t="s">
        <v>482</v>
      </c>
      <c r="B23" s="1574">
        <v>166</v>
      </c>
      <c r="C23" s="1575">
        <v>5</v>
      </c>
      <c r="D23" s="1575">
        <v>45</v>
      </c>
      <c r="E23" s="1575">
        <v>0</v>
      </c>
      <c r="F23" s="1575">
        <v>0</v>
      </c>
      <c r="G23" s="1575">
        <v>0</v>
      </c>
      <c r="H23" s="1575">
        <v>0</v>
      </c>
      <c r="I23" s="1575">
        <v>105</v>
      </c>
      <c r="J23" s="1575">
        <v>0</v>
      </c>
      <c r="K23" s="1575">
        <v>227</v>
      </c>
      <c r="L23" s="1575">
        <v>179</v>
      </c>
      <c r="M23" s="1575">
        <v>127</v>
      </c>
      <c r="N23" s="1575">
        <v>0</v>
      </c>
      <c r="O23" s="1576">
        <v>50</v>
      </c>
      <c r="P23" s="1577">
        <f t="shared" si="0"/>
        <v>854</v>
      </c>
      <c r="Q23" s="1577">
        <v>8872</v>
      </c>
    </row>
    <row r="24" spans="1:17" ht="21.75" thickBot="1">
      <c r="A24" s="1579" t="s">
        <v>88</v>
      </c>
      <c r="B24" s="1580">
        <v>63</v>
      </c>
      <c r="C24" s="1581">
        <v>466</v>
      </c>
      <c r="D24" s="1581">
        <v>321</v>
      </c>
      <c r="E24" s="1581">
        <v>0</v>
      </c>
      <c r="F24" s="1581">
        <v>0</v>
      </c>
      <c r="G24" s="1581">
        <v>0</v>
      </c>
      <c r="H24" s="1581">
        <v>0</v>
      </c>
      <c r="I24" s="1581">
        <v>0</v>
      </c>
      <c r="J24" s="1581">
        <v>0</v>
      </c>
      <c r="K24" s="1581">
        <v>0</v>
      </c>
      <c r="L24" s="1581">
        <v>0</v>
      </c>
      <c r="M24" s="1581">
        <v>0</v>
      </c>
      <c r="N24" s="1581">
        <v>8</v>
      </c>
      <c r="O24" s="1581">
        <v>29</v>
      </c>
      <c r="P24" s="1577">
        <f t="shared" si="0"/>
        <v>858</v>
      </c>
      <c r="Q24" s="1577">
        <v>9200</v>
      </c>
    </row>
    <row r="25" spans="1:17" ht="30" thickBot="1">
      <c r="A25" s="1582" t="s">
        <v>387</v>
      </c>
      <c r="B25" s="1583">
        <f t="shared" ref="B25:Q25" si="1">SUM(B4:B24)</f>
        <v>3657</v>
      </c>
      <c r="C25" s="1583">
        <f t="shared" si="1"/>
        <v>5876</v>
      </c>
      <c r="D25" s="1583">
        <f t="shared" si="1"/>
        <v>17955</v>
      </c>
      <c r="E25" s="1583">
        <f t="shared" si="1"/>
        <v>2995</v>
      </c>
      <c r="F25" s="1583">
        <f t="shared" si="1"/>
        <v>162</v>
      </c>
      <c r="G25" s="1583">
        <f t="shared" si="1"/>
        <v>330</v>
      </c>
      <c r="H25" s="1583">
        <f t="shared" si="1"/>
        <v>70</v>
      </c>
      <c r="I25" s="1583">
        <f t="shared" si="1"/>
        <v>137</v>
      </c>
      <c r="J25" s="1583">
        <f t="shared" si="1"/>
        <v>0</v>
      </c>
      <c r="K25" s="1583">
        <f t="shared" si="1"/>
        <v>1148</v>
      </c>
      <c r="L25" s="1583">
        <f t="shared" si="1"/>
        <v>231</v>
      </c>
      <c r="M25" s="1583">
        <f t="shared" si="1"/>
        <v>139</v>
      </c>
      <c r="N25" s="1583">
        <f t="shared" si="1"/>
        <v>78</v>
      </c>
      <c r="O25" s="1583">
        <f t="shared" si="1"/>
        <v>621</v>
      </c>
      <c r="P25" s="1584">
        <f t="shared" si="1"/>
        <v>32778</v>
      </c>
      <c r="Q25" s="1585">
        <f t="shared" si="1"/>
        <v>308566.10000000003</v>
      </c>
    </row>
    <row r="26" spans="1:17" ht="21">
      <c r="A26" s="3275" t="s">
        <v>1741</v>
      </c>
      <c r="B26" s="3275"/>
      <c r="C26" s="3275"/>
      <c r="D26" s="3275"/>
      <c r="E26" s="3275"/>
      <c r="F26" s="3275"/>
      <c r="G26" s="3275"/>
      <c r="H26" s="3275"/>
      <c r="I26" s="3275"/>
      <c r="J26" s="3275"/>
      <c r="K26" s="3275"/>
      <c r="L26" s="3275"/>
      <c r="M26" s="3275"/>
      <c r="N26" s="3275"/>
      <c r="O26" s="3275"/>
      <c r="P26" s="3275"/>
      <c r="Q26" s="3275"/>
    </row>
    <row r="27" spans="1:17" ht="18">
      <c r="A27" s="3129" t="s">
        <v>917</v>
      </c>
      <c r="B27" s="3130"/>
      <c r="C27" s="3130"/>
      <c r="D27" s="3130"/>
      <c r="E27" s="3130"/>
      <c r="F27" s="3130"/>
      <c r="G27" s="3130"/>
      <c r="H27" s="3130"/>
    </row>
  </sheetData>
  <mergeCells count="7">
    <mergeCell ref="A27:H27"/>
    <mergeCell ref="A1:Q1"/>
    <mergeCell ref="A2:A3"/>
    <mergeCell ref="J2:J3"/>
    <mergeCell ref="P2:P3"/>
    <mergeCell ref="Q2:Q3"/>
    <mergeCell ref="A26:Q26"/>
  </mergeCells>
  <printOptions horizontalCentered="1" verticalCentered="1"/>
  <pageMargins left="0.25" right="0.25" top="0.75" bottom="0.75" header="0.3" footer="0.3"/>
  <pageSetup paperSize="9" scale="83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</sheetPr>
  <dimension ref="A1:Z36"/>
  <sheetViews>
    <sheetView rightToLeft="1" zoomScale="64" zoomScaleNormal="64" workbookViewId="0">
      <selection sqref="A1:H32"/>
    </sheetView>
  </sheetViews>
  <sheetFormatPr defaultColWidth="9" defaultRowHeight="15.75"/>
  <cols>
    <col min="1" max="1" width="24.25" style="76" bestFit="1" customWidth="1"/>
    <col min="2" max="2" width="12.25" style="76" customWidth="1"/>
    <col min="3" max="3" width="13.625" style="76" customWidth="1"/>
    <col min="4" max="4" width="12.375" style="76" customWidth="1"/>
    <col min="5" max="5" width="11.75" style="76" customWidth="1"/>
    <col min="6" max="7" width="13.625" style="76" customWidth="1"/>
    <col min="8" max="8" width="13.375" style="76" customWidth="1"/>
    <col min="9" max="9" width="2.375" style="76" hidden="1" customWidth="1"/>
    <col min="10" max="10" width="7.125" style="76" hidden="1" customWidth="1"/>
    <col min="11" max="16" width="0" style="76" hidden="1" customWidth="1"/>
    <col min="17" max="17" width="9" style="76"/>
    <col min="18" max="18" width="9.75" style="76" bestFit="1" customWidth="1"/>
    <col min="19" max="19" width="9" style="76"/>
    <col min="20" max="20" width="11.625" style="76" bestFit="1" customWidth="1"/>
    <col min="21" max="16384" width="9" style="76"/>
  </cols>
  <sheetData>
    <row r="1" spans="1:26" ht="35.25" customHeight="1" thickBot="1">
      <c r="A1" s="3131" t="s">
        <v>1000</v>
      </c>
      <c r="B1" s="3131"/>
      <c r="C1" s="3131"/>
      <c r="D1" s="3131"/>
      <c r="E1" s="3131"/>
      <c r="F1" s="3131"/>
      <c r="G1" s="3131"/>
      <c r="H1" s="3131"/>
    </row>
    <row r="2" spans="1:26" ht="83.25" customHeight="1" thickBot="1">
      <c r="A2" s="816" t="s">
        <v>999</v>
      </c>
      <c r="B2" s="815" t="s">
        <v>998</v>
      </c>
      <c r="C2" s="814" t="s">
        <v>997</v>
      </c>
      <c r="D2" s="813" t="s">
        <v>996</v>
      </c>
      <c r="E2" s="812" t="s">
        <v>995</v>
      </c>
      <c r="F2" s="811" t="s">
        <v>994</v>
      </c>
      <c r="G2" s="810" t="s">
        <v>993</v>
      </c>
      <c r="H2" s="809" t="s">
        <v>992</v>
      </c>
      <c r="R2" s="76" t="s">
        <v>991</v>
      </c>
      <c r="S2" s="76" t="s">
        <v>990</v>
      </c>
    </row>
    <row r="3" spans="1:26" ht="22.5" customHeight="1">
      <c r="A3" s="808" t="s">
        <v>989</v>
      </c>
      <c r="B3" s="807">
        <v>9</v>
      </c>
      <c r="C3" s="806">
        <v>7.16</v>
      </c>
      <c r="D3" s="805">
        <v>0.61</v>
      </c>
      <c r="E3" s="804">
        <v>950</v>
      </c>
      <c r="F3" s="803">
        <f t="shared" ref="F3:F30" si="0">E3*C3</f>
        <v>6802</v>
      </c>
      <c r="G3" s="802">
        <v>201.23</v>
      </c>
      <c r="H3" s="388" t="s">
        <v>978</v>
      </c>
      <c r="J3" s="801">
        <v>7.97</v>
      </c>
      <c r="K3" s="3278" t="s">
        <v>988</v>
      </c>
      <c r="L3" s="3279"/>
      <c r="N3" s="770">
        <f t="shared" ref="N3:N23" si="1">+J3*E3</f>
        <v>7571.5</v>
      </c>
      <c r="P3" s="76">
        <f t="shared" ref="P3:P27" si="2">+G3*B3</f>
        <v>1811.07</v>
      </c>
      <c r="R3" s="76">
        <v>614309</v>
      </c>
      <c r="S3" s="76">
        <v>2818</v>
      </c>
      <c r="T3" s="76">
        <f>+R3/S3</f>
        <v>217.99467707594039</v>
      </c>
      <c r="U3" s="740">
        <f>+T3*365</f>
        <v>79568.057132718241</v>
      </c>
    </row>
    <row r="4" spans="1:26" ht="22.5" customHeight="1">
      <c r="A4" s="506" t="s">
        <v>987</v>
      </c>
      <c r="B4" s="764">
        <v>91</v>
      </c>
      <c r="C4" s="760">
        <v>73.8</v>
      </c>
      <c r="D4" s="763">
        <v>3.4</v>
      </c>
      <c r="E4" s="768">
        <v>1425</v>
      </c>
      <c r="F4" s="752">
        <f t="shared" si="0"/>
        <v>105165</v>
      </c>
      <c r="G4" s="757">
        <v>219.2</v>
      </c>
      <c r="H4" s="394" t="s">
        <v>978</v>
      </c>
      <c r="J4" s="772">
        <v>73.209999999999994</v>
      </c>
      <c r="K4" s="3280" t="s">
        <v>986</v>
      </c>
      <c r="L4" s="3281"/>
      <c r="N4" s="770">
        <f t="shared" si="1"/>
        <v>104324.24999999999</v>
      </c>
      <c r="P4" s="76">
        <f t="shared" si="2"/>
        <v>19947.2</v>
      </c>
      <c r="R4" s="76">
        <v>6342832</v>
      </c>
      <c r="S4" s="743">
        <v>29036</v>
      </c>
      <c r="T4" s="76">
        <f t="shared" ref="T4:T30" si="3">+R4/S4</f>
        <v>218.44716903154705</v>
      </c>
      <c r="U4" s="740">
        <f t="shared" ref="U4:U30" si="4">+T4*365</f>
        <v>79733.216696514675</v>
      </c>
      <c r="V4" s="743"/>
      <c r="W4" s="743"/>
    </row>
    <row r="5" spans="1:26" ht="22.5" customHeight="1">
      <c r="A5" s="506" t="s">
        <v>985</v>
      </c>
      <c r="B5" s="764">
        <v>2</v>
      </c>
      <c r="C5" s="760">
        <v>1.95</v>
      </c>
      <c r="D5" s="763">
        <v>0.02</v>
      </c>
      <c r="E5" s="768">
        <v>1100</v>
      </c>
      <c r="F5" s="752">
        <f t="shared" si="0"/>
        <v>2145</v>
      </c>
      <c r="G5" s="757">
        <v>232.25</v>
      </c>
      <c r="H5" s="394" t="s">
        <v>978</v>
      </c>
      <c r="J5" s="772">
        <v>1.79</v>
      </c>
      <c r="K5" s="3280" t="s">
        <v>984</v>
      </c>
      <c r="L5" s="3281"/>
      <c r="N5" s="770">
        <f t="shared" si="1"/>
        <v>1969</v>
      </c>
      <c r="P5" s="76">
        <f t="shared" si="2"/>
        <v>464.5</v>
      </c>
      <c r="R5" s="76">
        <v>173520</v>
      </c>
      <c r="S5" s="76">
        <v>730</v>
      </c>
      <c r="T5" s="76">
        <f t="shared" si="3"/>
        <v>237.69863013698631</v>
      </c>
      <c r="U5" s="740">
        <f t="shared" si="4"/>
        <v>86760</v>
      </c>
    </row>
    <row r="6" spans="1:26" ht="22.5" customHeight="1">
      <c r="A6" s="506" t="s">
        <v>983</v>
      </c>
      <c r="B6" s="764">
        <v>22</v>
      </c>
      <c r="C6" s="760">
        <v>18.010000000000002</v>
      </c>
      <c r="D6" s="763">
        <v>0.59</v>
      </c>
      <c r="E6" s="768">
        <v>1050</v>
      </c>
      <c r="F6" s="752">
        <f t="shared" si="0"/>
        <v>18910.5</v>
      </c>
      <c r="G6" s="757">
        <v>221.16</v>
      </c>
      <c r="H6" s="394" t="s">
        <v>978</v>
      </c>
      <c r="J6" s="772">
        <v>17.34</v>
      </c>
      <c r="K6" s="3280" t="s">
        <v>982</v>
      </c>
      <c r="L6" s="3281"/>
      <c r="N6" s="770">
        <f t="shared" si="1"/>
        <v>18207</v>
      </c>
      <c r="P6" s="76">
        <f t="shared" si="2"/>
        <v>4865.5199999999995</v>
      </c>
      <c r="R6" s="76">
        <v>1486800</v>
      </c>
      <c r="S6" s="76">
        <v>6589</v>
      </c>
      <c r="T6" s="76">
        <f t="shared" si="3"/>
        <v>225.64880862042799</v>
      </c>
      <c r="U6" s="740">
        <f t="shared" si="4"/>
        <v>82361.815146456211</v>
      </c>
    </row>
    <row r="7" spans="1:26" ht="22.5" customHeight="1">
      <c r="A7" s="506" t="s">
        <v>981</v>
      </c>
      <c r="B7" s="764">
        <v>1</v>
      </c>
      <c r="C7" s="760">
        <v>0.97</v>
      </c>
      <c r="D7" s="763">
        <v>1.4999999999999999E-2</v>
      </c>
      <c r="E7" s="773">
        <v>1950</v>
      </c>
      <c r="F7" s="752">
        <f t="shared" si="0"/>
        <v>1891.5</v>
      </c>
      <c r="G7" s="757">
        <v>225.47</v>
      </c>
      <c r="H7" s="394" t="s">
        <v>978</v>
      </c>
      <c r="J7" s="772">
        <v>0.86</v>
      </c>
      <c r="K7" s="3280" t="s">
        <v>980</v>
      </c>
      <c r="L7" s="3281"/>
      <c r="N7" s="770">
        <f t="shared" si="1"/>
        <v>1677</v>
      </c>
      <c r="P7" s="76">
        <f t="shared" si="2"/>
        <v>225.47</v>
      </c>
      <c r="R7" s="76">
        <v>69401</v>
      </c>
      <c r="S7" s="76">
        <v>365</v>
      </c>
      <c r="T7" s="76">
        <f t="shared" si="3"/>
        <v>190.13972602739727</v>
      </c>
      <c r="U7" s="740">
        <f t="shared" si="4"/>
        <v>69401</v>
      </c>
    </row>
    <row r="8" spans="1:26" ht="22.5" customHeight="1" thickBot="1">
      <c r="A8" s="800" t="s">
        <v>979</v>
      </c>
      <c r="B8" s="799">
        <v>28</v>
      </c>
      <c r="C8" s="755">
        <v>22.63</v>
      </c>
      <c r="D8" s="754">
        <v>1.34</v>
      </c>
      <c r="E8" s="798">
        <v>1650</v>
      </c>
      <c r="F8" s="797">
        <f t="shared" si="0"/>
        <v>37339.5</v>
      </c>
      <c r="G8" s="751">
        <v>221.89</v>
      </c>
      <c r="H8" s="796" t="s">
        <v>978</v>
      </c>
      <c r="J8" s="772">
        <v>18.66</v>
      </c>
      <c r="K8" s="3280" t="s">
        <v>977</v>
      </c>
      <c r="L8" s="3281"/>
      <c r="N8" s="770">
        <f t="shared" si="1"/>
        <v>30789</v>
      </c>
      <c r="P8" s="76">
        <f t="shared" si="2"/>
        <v>6212.92</v>
      </c>
      <c r="R8" s="76">
        <v>1712342</v>
      </c>
      <c r="S8" s="76">
        <v>7970</v>
      </c>
      <c r="T8" s="76">
        <f t="shared" si="3"/>
        <v>214.84843161856963</v>
      </c>
      <c r="U8" s="740">
        <f t="shared" si="4"/>
        <v>78419.677540777921</v>
      </c>
    </row>
    <row r="9" spans="1:26" ht="22.5" customHeight="1">
      <c r="A9" s="477" t="s">
        <v>976</v>
      </c>
      <c r="B9" s="795">
        <v>152</v>
      </c>
      <c r="C9" s="794">
        <v>98.22</v>
      </c>
      <c r="D9" s="793">
        <v>10.42</v>
      </c>
      <c r="E9" s="792">
        <v>3300</v>
      </c>
      <c r="F9" s="791">
        <f t="shared" si="0"/>
        <v>324126</v>
      </c>
      <c r="G9" s="790">
        <v>440.48</v>
      </c>
      <c r="H9" s="789" t="s">
        <v>946</v>
      </c>
      <c r="J9" s="772">
        <f>50.45+108.59</f>
        <v>159.04000000000002</v>
      </c>
      <c r="K9" s="3280" t="s">
        <v>975</v>
      </c>
      <c r="L9" s="3281"/>
      <c r="N9" s="770">
        <f t="shared" si="1"/>
        <v>524832.00000000012</v>
      </c>
      <c r="P9" s="76">
        <f t="shared" si="2"/>
        <v>66952.960000000006</v>
      </c>
      <c r="R9" s="76">
        <f>19434595+6012891</f>
        <v>25447486</v>
      </c>
      <c r="S9" s="76">
        <f>44316+19196</f>
        <v>63512</v>
      </c>
      <c r="T9" s="76">
        <f t="shared" si="3"/>
        <v>400.67209346265275</v>
      </c>
      <c r="U9" s="740">
        <f t="shared" si="4"/>
        <v>146245.31411386825</v>
      </c>
      <c r="W9" s="76">
        <f>6012891</f>
        <v>6012891</v>
      </c>
      <c r="X9" s="76">
        <f>19196</f>
        <v>19196</v>
      </c>
      <c r="Y9" s="76">
        <f t="shared" ref="Y9" si="5">+W9/X9</f>
        <v>313.23666388831009</v>
      </c>
      <c r="Z9" s="740">
        <f t="shared" ref="Z9" si="6">+Y9*365</f>
        <v>114331.38231923318</v>
      </c>
    </row>
    <row r="10" spans="1:26" ht="22.5" customHeight="1">
      <c r="A10" s="482" t="s">
        <v>974</v>
      </c>
      <c r="B10" s="764">
        <v>75</v>
      </c>
      <c r="C10" s="760">
        <v>41.15</v>
      </c>
      <c r="D10" s="763">
        <v>6.22</v>
      </c>
      <c r="E10" s="788"/>
      <c r="F10" s="787"/>
      <c r="G10" s="757">
        <v>325.87</v>
      </c>
      <c r="H10" s="394" t="s">
        <v>946</v>
      </c>
      <c r="J10" s="772">
        <v>6.9</v>
      </c>
      <c r="K10" s="3280" t="s">
        <v>973</v>
      </c>
      <c r="L10" s="3281"/>
      <c r="N10" s="770">
        <f t="shared" si="1"/>
        <v>0</v>
      </c>
      <c r="P10" s="76">
        <f t="shared" si="2"/>
        <v>24440.25</v>
      </c>
      <c r="U10" s="740"/>
      <c r="Z10" s="740"/>
    </row>
    <row r="11" spans="1:26" ht="22.5" customHeight="1">
      <c r="A11" s="482" t="s">
        <v>972</v>
      </c>
      <c r="B11" s="764">
        <v>5</v>
      </c>
      <c r="C11" s="760">
        <v>4.38</v>
      </c>
      <c r="D11" s="763">
        <v>0.62</v>
      </c>
      <c r="E11" s="768">
        <v>4680</v>
      </c>
      <c r="F11" s="752">
        <f t="shared" si="0"/>
        <v>20498.399999999998</v>
      </c>
      <c r="G11" s="757">
        <v>105.7</v>
      </c>
      <c r="H11" s="394" t="s">
        <v>946</v>
      </c>
      <c r="J11" s="772">
        <f>30.1+11.38</f>
        <v>41.480000000000004</v>
      </c>
      <c r="K11" s="3280" t="s">
        <v>971</v>
      </c>
      <c r="L11" s="3281"/>
      <c r="N11" s="770">
        <f t="shared" si="1"/>
        <v>194126.40000000002</v>
      </c>
      <c r="P11" s="76">
        <f t="shared" si="2"/>
        <v>528.5</v>
      </c>
      <c r="R11" s="76">
        <v>201196</v>
      </c>
      <c r="S11" s="76">
        <v>1627</v>
      </c>
      <c r="T11" s="76">
        <f t="shared" si="3"/>
        <v>123.66072526121697</v>
      </c>
      <c r="U11" s="740">
        <f t="shared" si="4"/>
        <v>45136.16472034419</v>
      </c>
    </row>
    <row r="12" spans="1:26" s="743" customFormat="1" ht="22.5" customHeight="1">
      <c r="A12" s="786" t="s">
        <v>971</v>
      </c>
      <c r="B12" s="764">
        <v>53</v>
      </c>
      <c r="C12" s="760">
        <v>33.159999999999997</v>
      </c>
      <c r="D12" s="763">
        <v>4.63</v>
      </c>
      <c r="E12" s="768">
        <v>3250</v>
      </c>
      <c r="F12" s="752">
        <f t="shared" si="0"/>
        <v>107769.99999999999</v>
      </c>
      <c r="G12" s="757">
        <v>223.8</v>
      </c>
      <c r="H12" s="394" t="s">
        <v>946</v>
      </c>
      <c r="J12" s="785">
        <v>41.24</v>
      </c>
      <c r="K12" s="3282" t="s">
        <v>970</v>
      </c>
      <c r="L12" s="3283"/>
      <c r="N12" s="743">
        <f t="shared" si="1"/>
        <v>134030</v>
      </c>
      <c r="P12" s="743">
        <f t="shared" si="2"/>
        <v>11861.400000000001</v>
      </c>
      <c r="R12" s="76">
        <f>4023401+1189235</f>
        <v>5212636</v>
      </c>
      <c r="S12" s="76">
        <f>12082+4742</f>
        <v>16824</v>
      </c>
      <c r="T12" s="76">
        <f>+R12/S12</f>
        <v>309.83333333333331</v>
      </c>
      <c r="U12" s="740">
        <f t="shared" si="4"/>
        <v>113089.16666666666</v>
      </c>
      <c r="V12" s="76"/>
      <c r="W12" s="76"/>
      <c r="X12" s="76"/>
      <c r="Y12" s="76"/>
      <c r="Z12" s="76"/>
    </row>
    <row r="13" spans="1:26" s="743" customFormat="1" ht="22.5" customHeight="1">
      <c r="A13" s="774" t="s">
        <v>969</v>
      </c>
      <c r="B13" s="764">
        <v>49</v>
      </c>
      <c r="C13" s="760">
        <v>15.53</v>
      </c>
      <c r="D13" s="769">
        <v>36</v>
      </c>
      <c r="E13" s="773">
        <v>4300</v>
      </c>
      <c r="F13" s="752">
        <f t="shared" si="0"/>
        <v>66779</v>
      </c>
      <c r="G13" s="757">
        <v>116.21</v>
      </c>
      <c r="H13" s="394" t="s">
        <v>946</v>
      </c>
      <c r="J13" s="784"/>
      <c r="K13" s="783"/>
      <c r="L13" s="782"/>
      <c r="R13" s="743">
        <v>4930716</v>
      </c>
      <c r="S13" s="743">
        <v>17072</v>
      </c>
      <c r="T13" s="76">
        <f t="shared" si="3"/>
        <v>288.81888472352392</v>
      </c>
      <c r="U13" s="740">
        <f t="shared" si="4"/>
        <v>105418.89292408623</v>
      </c>
    </row>
    <row r="14" spans="1:26" s="743" customFormat="1" ht="22.5" customHeight="1">
      <c r="A14" s="774" t="s">
        <v>968</v>
      </c>
      <c r="B14" s="764">
        <v>48</v>
      </c>
      <c r="C14" s="760">
        <v>24.94</v>
      </c>
      <c r="D14" s="769">
        <v>4.43</v>
      </c>
      <c r="E14" s="773"/>
      <c r="F14" s="752"/>
      <c r="G14" s="757">
        <v>324.81</v>
      </c>
      <c r="H14" s="394" t="s">
        <v>946</v>
      </c>
      <c r="J14" s="784"/>
      <c r="K14" s="783"/>
      <c r="L14" s="782"/>
      <c r="T14" s="76"/>
      <c r="U14" s="740"/>
    </row>
    <row r="15" spans="1:26" ht="22.5" customHeight="1">
      <c r="A15" s="774" t="s">
        <v>967</v>
      </c>
      <c r="B15" s="764">
        <v>25</v>
      </c>
      <c r="C15" s="760">
        <v>20.75</v>
      </c>
      <c r="D15" s="769">
        <v>1.93</v>
      </c>
      <c r="E15" s="773">
        <v>3300</v>
      </c>
      <c r="F15" s="752">
        <f t="shared" si="0"/>
        <v>68475</v>
      </c>
      <c r="G15" s="780">
        <v>357.88</v>
      </c>
      <c r="H15" s="394" t="s">
        <v>946</v>
      </c>
      <c r="J15" s="76">
        <v>59.34</v>
      </c>
      <c r="K15" s="482" t="s">
        <v>966</v>
      </c>
      <c r="N15" s="770">
        <f t="shared" si="1"/>
        <v>195822</v>
      </c>
      <c r="P15" s="76">
        <f t="shared" si="2"/>
        <v>8947</v>
      </c>
      <c r="R15" s="743"/>
      <c r="S15" s="743"/>
      <c r="U15" s="740"/>
      <c r="V15" s="743"/>
      <c r="W15" s="743"/>
      <c r="X15" s="743"/>
      <c r="Y15" s="743"/>
      <c r="Z15" s="743"/>
    </row>
    <row r="16" spans="1:26" ht="22.5" customHeight="1">
      <c r="A16" s="774" t="s">
        <v>965</v>
      </c>
      <c r="B16" s="764">
        <v>2</v>
      </c>
      <c r="C16" s="760">
        <v>1.31</v>
      </c>
      <c r="D16" s="769">
        <v>0.34</v>
      </c>
      <c r="E16" s="781"/>
      <c r="F16" s="781"/>
      <c r="G16" s="780">
        <v>223.6</v>
      </c>
      <c r="H16" s="394" t="s">
        <v>946</v>
      </c>
      <c r="J16" s="76">
        <f>14.76+4.52</f>
        <v>19.28</v>
      </c>
      <c r="K16" s="482" t="s">
        <v>964</v>
      </c>
      <c r="N16" s="770">
        <f t="shared" si="1"/>
        <v>0</v>
      </c>
      <c r="P16" s="76">
        <f t="shared" si="2"/>
        <v>447.2</v>
      </c>
      <c r="R16" s="779"/>
      <c r="S16" s="779"/>
      <c r="T16" s="779"/>
      <c r="U16" s="779"/>
      <c r="V16" s="779"/>
      <c r="W16" s="779"/>
      <c r="X16" s="779"/>
      <c r="Y16" s="779"/>
      <c r="Z16" s="779"/>
    </row>
    <row r="17" spans="1:26" ht="22.5" customHeight="1">
      <c r="A17" s="482" t="s">
        <v>963</v>
      </c>
      <c r="B17" s="764">
        <v>14</v>
      </c>
      <c r="C17" s="760">
        <v>9.82</v>
      </c>
      <c r="D17" s="769">
        <v>1.91</v>
      </c>
      <c r="E17" s="768">
        <v>3300</v>
      </c>
      <c r="F17" s="752">
        <f t="shared" si="0"/>
        <v>32406</v>
      </c>
      <c r="G17" s="757">
        <v>312</v>
      </c>
      <c r="H17" s="394" t="s">
        <v>946</v>
      </c>
      <c r="K17" s="506"/>
      <c r="N17" s="770"/>
      <c r="R17" s="76">
        <f>4433198+3074642+1671510</f>
        <v>9179350</v>
      </c>
      <c r="S17" s="76">
        <f>12096+8352+4589</f>
        <v>25037</v>
      </c>
      <c r="T17" s="76">
        <f t="shared" si="3"/>
        <v>366.63138554938689</v>
      </c>
      <c r="U17" s="740">
        <f t="shared" si="4"/>
        <v>133820.4557255262</v>
      </c>
    </row>
    <row r="18" spans="1:26" ht="22.5" customHeight="1">
      <c r="A18" s="774" t="s">
        <v>962</v>
      </c>
      <c r="B18" s="764">
        <v>20</v>
      </c>
      <c r="C18" s="760">
        <v>11.31</v>
      </c>
      <c r="D18" s="769">
        <v>4.34</v>
      </c>
      <c r="E18" s="773">
        <v>5000</v>
      </c>
      <c r="F18" s="752">
        <f t="shared" si="0"/>
        <v>56550</v>
      </c>
      <c r="G18" s="757">
        <v>202.41</v>
      </c>
      <c r="H18" s="394" t="s">
        <v>946</v>
      </c>
      <c r="J18" s="766">
        <v>0</v>
      </c>
      <c r="K18" s="3276"/>
      <c r="L18" s="3277"/>
      <c r="N18" s="76">
        <f t="shared" si="1"/>
        <v>0</v>
      </c>
      <c r="P18" s="76">
        <f t="shared" si="2"/>
        <v>4048.2</v>
      </c>
      <c r="R18" s="76">
        <f>2202380+927100</f>
        <v>3129480</v>
      </c>
      <c r="S18" s="76">
        <f>6520+2737</f>
        <v>9257</v>
      </c>
      <c r="T18" s="76">
        <f t="shared" si="3"/>
        <v>338.06632818407689</v>
      </c>
      <c r="U18" s="740">
        <f t="shared" si="4"/>
        <v>123394.20978718807</v>
      </c>
    </row>
    <row r="19" spans="1:26" ht="22.5" customHeight="1">
      <c r="A19" s="774" t="s">
        <v>961</v>
      </c>
      <c r="B19" s="764">
        <v>7</v>
      </c>
      <c r="C19" s="760">
        <v>4.1900000000000004</v>
      </c>
      <c r="D19" s="763">
        <v>2.4</v>
      </c>
      <c r="E19" s="773">
        <v>3300</v>
      </c>
      <c r="F19" s="752">
        <f>E19*C19</f>
        <v>13827.000000000002</v>
      </c>
      <c r="G19" s="757">
        <v>351.05</v>
      </c>
      <c r="H19" s="394" t="s">
        <v>946</v>
      </c>
      <c r="J19" s="772">
        <v>109.31</v>
      </c>
      <c r="K19" s="3280" t="s">
        <v>960</v>
      </c>
      <c r="L19" s="3281"/>
      <c r="N19" s="770">
        <f t="shared" si="1"/>
        <v>360723</v>
      </c>
      <c r="P19" s="76">
        <f t="shared" si="2"/>
        <v>2457.35</v>
      </c>
      <c r="U19" s="740"/>
    </row>
    <row r="20" spans="1:26" ht="22.5" customHeight="1">
      <c r="A20" s="774" t="s">
        <v>959</v>
      </c>
      <c r="B20" s="764">
        <v>1</v>
      </c>
      <c r="C20" s="760">
        <v>0</v>
      </c>
      <c r="D20" s="769">
        <v>0.5</v>
      </c>
      <c r="E20" s="773">
        <v>3750</v>
      </c>
      <c r="F20" s="767">
        <f t="shared" si="0"/>
        <v>0</v>
      </c>
      <c r="G20" s="757">
        <v>0</v>
      </c>
      <c r="H20" s="394" t="s">
        <v>946</v>
      </c>
      <c r="J20" s="766">
        <v>0</v>
      </c>
      <c r="K20" s="3276" t="s">
        <v>958</v>
      </c>
      <c r="L20" s="3277"/>
      <c r="N20" s="76">
        <f t="shared" si="1"/>
        <v>0</v>
      </c>
      <c r="P20" s="76">
        <f t="shared" si="2"/>
        <v>0</v>
      </c>
      <c r="R20" s="76">
        <v>3015</v>
      </c>
      <c r="S20" s="76">
        <v>235</v>
      </c>
      <c r="T20" s="76">
        <f t="shared" si="3"/>
        <v>12.829787234042554</v>
      </c>
      <c r="U20" s="740">
        <f t="shared" si="4"/>
        <v>4682.8723404255325</v>
      </c>
    </row>
    <row r="21" spans="1:26" ht="22.5" customHeight="1">
      <c r="A21" s="774" t="s">
        <v>957</v>
      </c>
      <c r="B21" s="764">
        <v>42</v>
      </c>
      <c r="C21" s="760">
        <v>22.67</v>
      </c>
      <c r="D21" s="769">
        <v>2.88</v>
      </c>
      <c r="E21" s="773"/>
      <c r="F21" s="767"/>
      <c r="G21" s="757">
        <v>354.73</v>
      </c>
      <c r="H21" s="394" t="s">
        <v>946</v>
      </c>
      <c r="J21" s="766">
        <v>0</v>
      </c>
      <c r="K21" s="3280" t="s">
        <v>956</v>
      </c>
      <c r="L21" s="3281"/>
      <c r="N21" s="76">
        <f t="shared" si="1"/>
        <v>0</v>
      </c>
      <c r="P21" s="76">
        <f t="shared" si="2"/>
        <v>14898.66</v>
      </c>
      <c r="U21" s="740"/>
    </row>
    <row r="22" spans="1:26" ht="22.5" customHeight="1">
      <c r="A22" s="774" t="s">
        <v>955</v>
      </c>
      <c r="B22" s="764">
        <v>150</v>
      </c>
      <c r="C22" s="760">
        <v>85.7</v>
      </c>
      <c r="D22" s="769">
        <v>16.09</v>
      </c>
      <c r="E22" s="773">
        <v>3220</v>
      </c>
      <c r="F22" s="767">
        <f t="shared" si="0"/>
        <v>275954</v>
      </c>
      <c r="G22" s="757">
        <v>778.72</v>
      </c>
      <c r="H22" s="394" t="s">
        <v>946</v>
      </c>
      <c r="J22" s="778">
        <v>2.59</v>
      </c>
      <c r="K22" s="482" t="s">
        <v>952</v>
      </c>
      <c r="N22" s="770">
        <f t="shared" si="1"/>
        <v>8339.7999999999993</v>
      </c>
      <c r="P22" s="76">
        <f t="shared" si="2"/>
        <v>116808</v>
      </c>
      <c r="R22" s="76">
        <v>33773385</v>
      </c>
      <c r="S22" s="76">
        <v>44282</v>
      </c>
      <c r="T22" s="76">
        <f t="shared" si="3"/>
        <v>762.68879002755068</v>
      </c>
      <c r="U22" s="740">
        <f t="shared" si="4"/>
        <v>278381.408360056</v>
      </c>
    </row>
    <row r="23" spans="1:26" s="743" customFormat="1" ht="22.5" customHeight="1">
      <c r="A23" s="774" t="s">
        <v>954</v>
      </c>
      <c r="B23" s="764">
        <v>0</v>
      </c>
      <c r="C23" s="760">
        <v>0</v>
      </c>
      <c r="D23" s="769">
        <v>0</v>
      </c>
      <c r="E23" s="758">
        <v>2640</v>
      </c>
      <c r="F23" s="767">
        <f t="shared" si="0"/>
        <v>0</v>
      </c>
      <c r="G23" s="757">
        <v>0</v>
      </c>
      <c r="H23" s="400" t="s">
        <v>946</v>
      </c>
      <c r="J23" s="777">
        <v>1.1399999999999999</v>
      </c>
      <c r="K23" s="3286" t="s">
        <v>951</v>
      </c>
      <c r="L23" s="3287"/>
      <c r="N23" s="743">
        <f t="shared" si="1"/>
        <v>3009.6</v>
      </c>
      <c r="P23" s="743">
        <f t="shared" si="2"/>
        <v>0</v>
      </c>
      <c r="R23" s="76">
        <v>0</v>
      </c>
      <c r="S23" s="76">
        <v>0</v>
      </c>
      <c r="T23" s="76">
        <v>0</v>
      </c>
      <c r="U23" s="740">
        <f t="shared" si="4"/>
        <v>0</v>
      </c>
      <c r="V23" s="76"/>
      <c r="W23" s="76"/>
      <c r="X23" s="76"/>
      <c r="Y23" s="76"/>
      <c r="Z23" s="76"/>
    </row>
    <row r="24" spans="1:26" s="743" customFormat="1" ht="22.5" customHeight="1">
      <c r="A24" s="774" t="s">
        <v>953</v>
      </c>
      <c r="B24" s="764">
        <v>0</v>
      </c>
      <c r="C24" s="760">
        <v>0</v>
      </c>
      <c r="D24" s="769">
        <v>0</v>
      </c>
      <c r="E24" s="773">
        <v>2300</v>
      </c>
      <c r="F24" s="767">
        <f t="shared" si="0"/>
        <v>0</v>
      </c>
      <c r="G24" s="757">
        <v>0</v>
      </c>
      <c r="H24" s="400" t="s">
        <v>946</v>
      </c>
      <c r="J24" s="777"/>
      <c r="K24" s="776"/>
      <c r="L24" s="775"/>
      <c r="P24" s="743">
        <f t="shared" si="2"/>
        <v>0</v>
      </c>
      <c r="R24" s="76">
        <v>0</v>
      </c>
      <c r="S24" s="76">
        <v>0</v>
      </c>
      <c r="T24" s="76">
        <v>0</v>
      </c>
      <c r="U24" s="740">
        <f t="shared" si="4"/>
        <v>0</v>
      </c>
      <c r="V24" s="76"/>
      <c r="W24" s="76"/>
      <c r="X24" s="76"/>
      <c r="Y24" s="76"/>
      <c r="Z24" s="76"/>
    </row>
    <row r="25" spans="1:26" ht="22.5" customHeight="1">
      <c r="A25" s="774" t="s">
        <v>952</v>
      </c>
      <c r="B25" s="764">
        <v>3</v>
      </c>
      <c r="C25" s="760">
        <v>1.33</v>
      </c>
      <c r="D25" s="769">
        <v>1.22</v>
      </c>
      <c r="E25" s="773">
        <v>4000</v>
      </c>
      <c r="F25" s="767">
        <f t="shared" si="0"/>
        <v>5320</v>
      </c>
      <c r="G25" s="757">
        <v>151.5</v>
      </c>
      <c r="H25" s="400" t="s">
        <v>946</v>
      </c>
      <c r="J25" s="772">
        <v>8.3800000000000008</v>
      </c>
      <c r="K25" s="482" t="s">
        <v>948</v>
      </c>
      <c r="N25" s="770">
        <f>+J25*E25</f>
        <v>33520</v>
      </c>
      <c r="P25" s="76">
        <f t="shared" si="2"/>
        <v>454.5</v>
      </c>
      <c r="R25" s="76">
        <v>358105</v>
      </c>
      <c r="S25" s="76">
        <v>955</v>
      </c>
      <c r="T25" s="76">
        <f t="shared" si="3"/>
        <v>374.97905759162302</v>
      </c>
      <c r="U25" s="740">
        <f t="shared" si="4"/>
        <v>136867.35602094239</v>
      </c>
    </row>
    <row r="26" spans="1:26" ht="22.5" customHeight="1">
      <c r="A26" s="774" t="s">
        <v>951</v>
      </c>
      <c r="B26" s="764">
        <v>20</v>
      </c>
      <c r="C26" s="760">
        <v>10.039999999999999</v>
      </c>
      <c r="D26" s="769">
        <v>2.52</v>
      </c>
      <c r="E26" s="773">
        <v>4300</v>
      </c>
      <c r="F26" s="767">
        <f t="shared" si="0"/>
        <v>43171.999999999993</v>
      </c>
      <c r="G26" s="757">
        <v>263.95999999999998</v>
      </c>
      <c r="H26" s="400" t="s">
        <v>946</v>
      </c>
      <c r="J26" s="772"/>
      <c r="K26" s="771"/>
      <c r="N26" s="770"/>
      <c r="R26" s="743">
        <v>719247</v>
      </c>
      <c r="S26" s="743">
        <v>2085</v>
      </c>
      <c r="T26" s="76">
        <f t="shared" si="3"/>
        <v>344.96258992805758</v>
      </c>
      <c r="U26" s="740">
        <f t="shared" si="4"/>
        <v>125911.34532374101</v>
      </c>
      <c r="V26" s="743"/>
      <c r="W26" s="743"/>
      <c r="X26" s="743"/>
      <c r="Y26" s="743"/>
      <c r="Z26" s="743"/>
    </row>
    <row r="27" spans="1:26" ht="25.5" customHeight="1" thickBot="1">
      <c r="A27" s="482" t="s">
        <v>950</v>
      </c>
      <c r="B27" s="760">
        <v>12</v>
      </c>
      <c r="C27" s="760">
        <v>4.8099999999999996</v>
      </c>
      <c r="D27" s="769">
        <v>6</v>
      </c>
      <c r="E27" s="768">
        <v>3300</v>
      </c>
      <c r="F27" s="767">
        <f t="shared" si="0"/>
        <v>15872.999999999998</v>
      </c>
      <c r="G27" s="757">
        <v>216.65</v>
      </c>
      <c r="H27" s="400" t="s">
        <v>946</v>
      </c>
      <c r="J27" s="766">
        <v>0.41</v>
      </c>
      <c r="K27" s="2949" t="s">
        <v>949</v>
      </c>
      <c r="L27" s="2947"/>
      <c r="M27" s="765"/>
      <c r="P27" s="76">
        <f t="shared" si="2"/>
        <v>2599.8000000000002</v>
      </c>
      <c r="R27" s="743">
        <v>1462383</v>
      </c>
      <c r="S27" s="743">
        <v>3839</v>
      </c>
      <c r="T27" s="76">
        <f t="shared" si="3"/>
        <v>380.92810627767648</v>
      </c>
      <c r="U27" s="740">
        <f t="shared" si="4"/>
        <v>139038.75879135192</v>
      </c>
      <c r="V27" s="743"/>
      <c r="W27" s="743"/>
      <c r="X27" s="743"/>
      <c r="Y27" s="743"/>
      <c r="Z27" s="743"/>
    </row>
    <row r="28" spans="1:26" ht="20.25" customHeight="1">
      <c r="A28" s="482" t="s">
        <v>948</v>
      </c>
      <c r="B28" s="764">
        <v>3</v>
      </c>
      <c r="C28" s="760">
        <v>2.0299999999999998</v>
      </c>
      <c r="D28" s="763">
        <v>0.4</v>
      </c>
      <c r="E28" s="762">
        <v>3300</v>
      </c>
      <c r="F28" s="752">
        <f t="shared" si="0"/>
        <v>6698.9999999999991</v>
      </c>
      <c r="G28" s="757">
        <v>304.61</v>
      </c>
      <c r="H28" s="400" t="s">
        <v>946</v>
      </c>
      <c r="N28" s="76">
        <f>SUM(N3:N27)</f>
        <v>1618940.5500000003</v>
      </c>
      <c r="P28" s="76">
        <f>SUM(P3:P27)</f>
        <v>287970.50000000006</v>
      </c>
      <c r="R28" s="76">
        <v>5190</v>
      </c>
      <c r="S28" s="76">
        <v>19</v>
      </c>
      <c r="T28" s="76">
        <f t="shared" si="3"/>
        <v>273.15789473684208</v>
      </c>
      <c r="U28" s="740">
        <f t="shared" si="4"/>
        <v>99702.631578947359</v>
      </c>
    </row>
    <row r="29" spans="1:26" ht="22.5">
      <c r="A29" s="482" t="s">
        <v>947</v>
      </c>
      <c r="B29" s="761">
        <v>12</v>
      </c>
      <c r="C29" s="760">
        <v>6.52</v>
      </c>
      <c r="D29" s="759">
        <v>2.52</v>
      </c>
      <c r="E29" s="758">
        <v>3300</v>
      </c>
      <c r="F29" s="752">
        <f t="shared" si="0"/>
        <v>21516</v>
      </c>
      <c r="G29" s="757">
        <v>238.9</v>
      </c>
      <c r="H29" s="400" t="s">
        <v>946</v>
      </c>
      <c r="N29" s="740"/>
      <c r="R29" s="76">
        <v>1459439</v>
      </c>
      <c r="S29" s="76">
        <v>3749</v>
      </c>
      <c r="T29" s="76">
        <f t="shared" si="3"/>
        <v>389.28754334489196</v>
      </c>
      <c r="U29" s="740">
        <f t="shared" si="4"/>
        <v>142089.95332088557</v>
      </c>
    </row>
    <row r="30" spans="1:26" ht="23.25" thickBot="1">
      <c r="A30" s="756" t="s">
        <v>945</v>
      </c>
      <c r="B30" s="755">
        <v>2</v>
      </c>
      <c r="C30" s="755">
        <v>0.6</v>
      </c>
      <c r="D30" s="754">
        <v>0.7</v>
      </c>
      <c r="E30" s="753">
        <v>4000</v>
      </c>
      <c r="F30" s="752">
        <f t="shared" si="0"/>
        <v>2400</v>
      </c>
      <c r="G30" s="751">
        <v>135.49</v>
      </c>
      <c r="H30" s="394" t="s">
        <v>944</v>
      </c>
      <c r="R30" s="76">
        <v>171034</v>
      </c>
      <c r="S30" s="76">
        <v>637</v>
      </c>
      <c r="T30" s="76">
        <f t="shared" si="3"/>
        <v>268.49921507064363</v>
      </c>
      <c r="U30" s="740">
        <f t="shared" si="4"/>
        <v>98002.213500784928</v>
      </c>
    </row>
    <row r="31" spans="1:26" ht="23.25" thickBot="1">
      <c r="A31" s="750" t="s">
        <v>423</v>
      </c>
      <c r="B31" s="749">
        <f>SUM(B3:B30)</f>
        <v>848</v>
      </c>
      <c r="C31" s="746">
        <f>SUM(C3:C30)</f>
        <v>522.9799999999999</v>
      </c>
      <c r="D31" s="748">
        <f>SUM(D3:D30)</f>
        <v>112.045</v>
      </c>
      <c r="E31" s="747" t="s">
        <v>95</v>
      </c>
      <c r="F31" s="746">
        <f>SUM(F3:F30)</f>
        <v>1233618.8999999999</v>
      </c>
      <c r="G31" s="745" t="s">
        <v>95</v>
      </c>
      <c r="H31" s="744" t="s">
        <v>95</v>
      </c>
      <c r="R31" s="76">
        <f>SUM(R3:R30)</f>
        <v>96451866</v>
      </c>
      <c r="S31" s="76">
        <f>SUM(S3:S30)</f>
        <v>236638</v>
      </c>
    </row>
    <row r="32" spans="1:26" ht="26.25" customHeight="1">
      <c r="A32" s="3288" t="s">
        <v>943</v>
      </c>
      <c r="B32" s="3288"/>
      <c r="C32" s="3288"/>
      <c r="D32" s="3288"/>
      <c r="E32" s="3288"/>
      <c r="F32" s="3288"/>
      <c r="G32" s="3288"/>
      <c r="H32" s="3288"/>
    </row>
    <row r="33" spans="1:7" ht="28.5" customHeight="1">
      <c r="C33" s="743"/>
      <c r="F33" s="740"/>
      <c r="G33" s="740"/>
    </row>
    <row r="34" spans="1:7">
      <c r="B34" s="742"/>
      <c r="C34" s="741"/>
      <c r="F34" s="740">
        <f>+F31-1554255</f>
        <v>-320636.10000000009</v>
      </c>
    </row>
    <row r="35" spans="1:7" ht="27.75">
      <c r="A35" s="3284"/>
      <c r="B35" s="3284"/>
      <c r="C35" s="3284"/>
      <c r="D35" s="3284"/>
      <c r="E35" s="3284"/>
    </row>
    <row r="36" spans="1:7" ht="22.5">
      <c r="A36" s="3285" t="s">
        <v>942</v>
      </c>
      <c r="B36" s="3285"/>
      <c r="C36" s="3285"/>
      <c r="D36" s="3285"/>
      <c r="E36" s="3285"/>
    </row>
  </sheetData>
  <mergeCells count="20">
    <mergeCell ref="A35:E35"/>
    <mergeCell ref="A36:E36"/>
    <mergeCell ref="K19:L19"/>
    <mergeCell ref="K20:L20"/>
    <mergeCell ref="K21:L21"/>
    <mergeCell ref="K23:L23"/>
    <mergeCell ref="K27:L27"/>
    <mergeCell ref="A32:H32"/>
    <mergeCell ref="K18:L18"/>
    <mergeCell ref="A1:H1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</mergeCells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1:AI36"/>
  <sheetViews>
    <sheetView rightToLeft="1" zoomScale="80" zoomScaleNormal="80" workbookViewId="0">
      <selection sqref="A1:F36"/>
    </sheetView>
  </sheetViews>
  <sheetFormatPr defaultColWidth="9" defaultRowHeight="15.75"/>
  <cols>
    <col min="1" max="1" width="10.125" style="77" customWidth="1"/>
    <col min="2" max="2" width="31" style="77" customWidth="1"/>
    <col min="3" max="6" width="14.625" style="77" customWidth="1"/>
    <col min="7" max="7" width="10" style="77" customWidth="1"/>
    <col min="8" max="16384" width="9" style="77"/>
  </cols>
  <sheetData>
    <row r="1" spans="1:35" ht="26.25" customHeight="1" thickBot="1">
      <c r="A1" s="3131" t="s">
        <v>1018</v>
      </c>
      <c r="B1" s="3131"/>
      <c r="C1" s="3131"/>
      <c r="D1" s="3131"/>
      <c r="E1" s="3131"/>
      <c r="F1" s="3131"/>
    </row>
    <row r="2" spans="1:35" ht="20.25" customHeight="1" thickBot="1">
      <c r="A2" s="3290" t="s">
        <v>999</v>
      </c>
      <c r="B2" s="3291"/>
      <c r="C2" s="3294" t="s">
        <v>1017</v>
      </c>
      <c r="D2" s="3290" t="s">
        <v>1016</v>
      </c>
      <c r="E2" s="3296"/>
      <c r="F2" s="3291"/>
    </row>
    <row r="3" spans="1:35" ht="34.5" customHeight="1" thickBot="1">
      <c r="A3" s="3292"/>
      <c r="B3" s="3293"/>
      <c r="C3" s="3295"/>
      <c r="D3" s="840" t="s">
        <v>1015</v>
      </c>
      <c r="E3" s="839" t="s">
        <v>997</v>
      </c>
      <c r="F3" s="838" t="s">
        <v>996</v>
      </c>
    </row>
    <row r="4" spans="1:35" ht="22.5">
      <c r="A4" s="3278" t="s">
        <v>988</v>
      </c>
      <c r="B4" s="3297"/>
      <c r="C4" s="837">
        <v>13</v>
      </c>
      <c r="D4" s="836">
        <v>9</v>
      </c>
      <c r="E4" s="802">
        <v>7.83</v>
      </c>
      <c r="F4" s="805">
        <v>1</v>
      </c>
      <c r="G4" s="819"/>
      <c r="H4" s="817"/>
      <c r="I4" s="81">
        <f t="shared" ref="I4:I20" si="0">+E4+F4</f>
        <v>8.83</v>
      </c>
      <c r="J4" s="81">
        <f t="shared" ref="J4:J20" si="1">+I4-D4</f>
        <v>-0.16999999999999993</v>
      </c>
      <c r="K4" s="84" t="e">
        <f>+#REF!+#REF!+#REF!+F4+E4</f>
        <v>#REF!</v>
      </c>
      <c r="L4" s="81" t="e">
        <f t="shared" ref="L4:L20" si="2">+K4-C4</f>
        <v>#REF!</v>
      </c>
    </row>
    <row r="5" spans="1:35" ht="22.5">
      <c r="A5" s="3280" t="s">
        <v>986</v>
      </c>
      <c r="B5" s="3289"/>
      <c r="C5" s="826">
        <v>125</v>
      </c>
      <c r="D5" s="825">
        <v>91</v>
      </c>
      <c r="E5" s="757">
        <v>74.930000000000007</v>
      </c>
      <c r="F5" s="763">
        <v>6</v>
      </c>
      <c r="G5" s="819"/>
      <c r="H5" s="817"/>
      <c r="I5" s="81">
        <f t="shared" si="0"/>
        <v>80.930000000000007</v>
      </c>
      <c r="J5" s="81">
        <f t="shared" si="1"/>
        <v>-10.069999999999993</v>
      </c>
      <c r="K5" s="84" t="e">
        <f>+#REF!+#REF!+#REF!+F5+E5</f>
        <v>#REF!</v>
      </c>
      <c r="L5" s="81" t="e">
        <f t="shared" si="2"/>
        <v>#REF!</v>
      </c>
    </row>
    <row r="6" spans="1:35" ht="22.5">
      <c r="A6" s="3280" t="s">
        <v>984</v>
      </c>
      <c r="B6" s="3289"/>
      <c r="C6" s="826">
        <v>2</v>
      </c>
      <c r="D6" s="825">
        <v>2</v>
      </c>
      <c r="E6" s="757">
        <v>2</v>
      </c>
      <c r="F6" s="763">
        <v>0</v>
      </c>
      <c r="G6" s="819"/>
      <c r="H6" s="817"/>
      <c r="I6" s="81">
        <f t="shared" si="0"/>
        <v>2</v>
      </c>
      <c r="J6" s="81">
        <f t="shared" si="1"/>
        <v>0</v>
      </c>
      <c r="K6" s="84" t="e">
        <f>+#REF!+#REF!+#REF!+F6+E6</f>
        <v>#REF!</v>
      </c>
      <c r="L6" s="81" t="e">
        <f t="shared" si="2"/>
        <v>#REF!</v>
      </c>
    </row>
    <row r="7" spans="1:35" ht="22.5">
      <c r="A7" s="3280" t="s">
        <v>982</v>
      </c>
      <c r="B7" s="3289"/>
      <c r="C7" s="826">
        <v>38</v>
      </c>
      <c r="D7" s="825">
        <v>22</v>
      </c>
      <c r="E7" s="757">
        <v>17.93</v>
      </c>
      <c r="F7" s="763">
        <v>1</v>
      </c>
      <c r="G7" s="819"/>
      <c r="H7" s="817"/>
      <c r="I7" s="81">
        <f t="shared" si="0"/>
        <v>18.93</v>
      </c>
      <c r="J7" s="81">
        <f t="shared" si="1"/>
        <v>-3.0700000000000003</v>
      </c>
      <c r="K7" s="84" t="e">
        <f>+#REF!+#REF!+#REF!+F7+E7</f>
        <v>#REF!</v>
      </c>
      <c r="L7" s="81" t="e">
        <f t="shared" si="2"/>
        <v>#REF!</v>
      </c>
      <c r="AI7" s="835"/>
    </row>
    <row r="8" spans="1:35" ht="22.5">
      <c r="A8" s="3280" t="s">
        <v>980</v>
      </c>
      <c r="B8" s="3289"/>
      <c r="C8" s="826">
        <v>20</v>
      </c>
      <c r="D8" s="825">
        <v>1</v>
      </c>
      <c r="E8" s="757">
        <v>0.9</v>
      </c>
      <c r="F8" s="763">
        <v>0</v>
      </c>
      <c r="G8" s="819"/>
      <c r="H8" s="817"/>
      <c r="I8" s="81">
        <f t="shared" si="0"/>
        <v>0.9</v>
      </c>
      <c r="J8" s="81">
        <f t="shared" si="1"/>
        <v>-9.9999999999999978E-2</v>
      </c>
      <c r="K8" s="84" t="e">
        <f>+#REF!+#REF!+#REF!+F8+E8</f>
        <v>#REF!</v>
      </c>
      <c r="L8" s="81" t="e">
        <f t="shared" si="2"/>
        <v>#REF!</v>
      </c>
    </row>
    <row r="9" spans="1:35" ht="22.5">
      <c r="A9" s="3280" t="s">
        <v>977</v>
      </c>
      <c r="B9" s="3289"/>
      <c r="C9" s="826">
        <v>39</v>
      </c>
      <c r="D9" s="825">
        <v>28</v>
      </c>
      <c r="E9" s="757">
        <v>23.03</v>
      </c>
      <c r="F9" s="763">
        <v>3</v>
      </c>
      <c r="G9" s="819"/>
      <c r="H9" s="817"/>
      <c r="I9" s="81">
        <f t="shared" si="0"/>
        <v>26.03</v>
      </c>
      <c r="J9" s="81">
        <f t="shared" si="1"/>
        <v>-1.9699999999999989</v>
      </c>
      <c r="K9" s="84" t="e">
        <f>+#REF!+#REF!+#REF!+F9+E9</f>
        <v>#REF!</v>
      </c>
      <c r="L9" s="81" t="e">
        <f t="shared" si="2"/>
        <v>#REF!</v>
      </c>
    </row>
    <row r="10" spans="1:35" ht="22.5">
      <c r="A10" s="3280" t="s">
        <v>975</v>
      </c>
      <c r="B10" s="3289"/>
      <c r="C10" s="826">
        <v>165</v>
      </c>
      <c r="D10" s="825">
        <v>152</v>
      </c>
      <c r="E10" s="757">
        <v>94.72</v>
      </c>
      <c r="F10" s="763">
        <v>29</v>
      </c>
      <c r="G10" s="819"/>
      <c r="H10" s="817"/>
      <c r="I10" s="81">
        <f t="shared" si="0"/>
        <v>123.72</v>
      </c>
      <c r="J10" s="81">
        <f t="shared" si="1"/>
        <v>-28.28</v>
      </c>
      <c r="K10" s="84" t="e">
        <f>+#REF!+#REF!+#REF!+F10+E10</f>
        <v>#REF!</v>
      </c>
      <c r="L10" s="81" t="e">
        <f t="shared" si="2"/>
        <v>#REF!</v>
      </c>
    </row>
    <row r="11" spans="1:35" ht="22.5">
      <c r="A11" s="3299" t="s">
        <v>974</v>
      </c>
      <c r="B11" s="3300"/>
      <c r="C11" s="826">
        <v>75</v>
      </c>
      <c r="D11" s="825">
        <v>75</v>
      </c>
      <c r="E11" s="757">
        <v>43.41</v>
      </c>
      <c r="F11" s="763">
        <v>12</v>
      </c>
      <c r="G11" s="819"/>
      <c r="H11" s="817"/>
      <c r="I11" s="81">
        <f t="shared" si="0"/>
        <v>55.41</v>
      </c>
      <c r="J11" s="81">
        <f t="shared" si="1"/>
        <v>-19.590000000000003</v>
      </c>
      <c r="K11" s="84" t="e">
        <f>+#REF!+#REF!+#REF!+F11+E11</f>
        <v>#REF!</v>
      </c>
      <c r="L11" s="81" t="e">
        <f t="shared" si="2"/>
        <v>#REF!</v>
      </c>
    </row>
    <row r="12" spans="1:35" ht="22.5">
      <c r="A12" s="3280" t="s">
        <v>973</v>
      </c>
      <c r="B12" s="3289"/>
      <c r="C12" s="826">
        <v>8</v>
      </c>
      <c r="D12" s="825">
        <v>5</v>
      </c>
      <c r="E12" s="757">
        <v>4.93</v>
      </c>
      <c r="F12" s="763">
        <v>1</v>
      </c>
      <c r="G12" s="819"/>
      <c r="H12" s="817"/>
      <c r="I12" s="81">
        <f t="shared" si="0"/>
        <v>5.93</v>
      </c>
      <c r="J12" s="81">
        <f t="shared" si="1"/>
        <v>0.92999999999999972</v>
      </c>
      <c r="K12" s="84" t="e">
        <f>+#REF!+#REF!+#REF!+F12+E12</f>
        <v>#REF!</v>
      </c>
      <c r="L12" s="81" t="e">
        <f t="shared" si="2"/>
        <v>#REF!</v>
      </c>
    </row>
    <row r="13" spans="1:35" s="834" customFormat="1" ht="22.5">
      <c r="A13" s="3280" t="s">
        <v>971</v>
      </c>
      <c r="B13" s="3289"/>
      <c r="C13" s="826">
        <v>60</v>
      </c>
      <c r="D13" s="825">
        <v>53</v>
      </c>
      <c r="E13" s="757">
        <v>32.65</v>
      </c>
      <c r="F13" s="763">
        <v>19</v>
      </c>
      <c r="G13" s="819"/>
      <c r="H13" s="817"/>
      <c r="I13" s="81">
        <f t="shared" si="0"/>
        <v>51.65</v>
      </c>
      <c r="J13" s="81">
        <f t="shared" si="1"/>
        <v>-1.3500000000000014</v>
      </c>
      <c r="K13" s="84" t="e">
        <f>+#REF!+#REF!+#REF!+F13+E13</f>
        <v>#REF!</v>
      </c>
      <c r="L13" s="81" t="e">
        <f t="shared" si="2"/>
        <v>#REF!</v>
      </c>
    </row>
    <row r="14" spans="1:35" ht="22.5">
      <c r="A14" s="3282" t="s">
        <v>970</v>
      </c>
      <c r="B14" s="3301"/>
      <c r="C14" s="826">
        <v>49</v>
      </c>
      <c r="D14" s="825">
        <v>49</v>
      </c>
      <c r="E14" s="757">
        <v>11.17</v>
      </c>
      <c r="F14" s="763">
        <v>36</v>
      </c>
      <c r="G14" s="819"/>
      <c r="H14" s="817"/>
      <c r="I14" s="81">
        <f t="shared" si="0"/>
        <v>47.17</v>
      </c>
      <c r="J14" s="81">
        <f t="shared" si="1"/>
        <v>-1.8299999999999983</v>
      </c>
      <c r="K14" s="84" t="e">
        <f>+#REF!+#REF!+#REF!+F14+E14</f>
        <v>#REF!</v>
      </c>
      <c r="L14" s="81" t="e">
        <f t="shared" si="2"/>
        <v>#REF!</v>
      </c>
    </row>
    <row r="15" spans="1:35" ht="22.5">
      <c r="A15" s="3280" t="s">
        <v>956</v>
      </c>
      <c r="B15" s="3289"/>
      <c r="C15" s="826">
        <v>10</v>
      </c>
      <c r="D15" s="825">
        <v>0</v>
      </c>
      <c r="E15" s="757">
        <v>0</v>
      </c>
      <c r="F15" s="763">
        <v>0</v>
      </c>
      <c r="G15" s="819"/>
      <c r="H15" s="817"/>
      <c r="I15" s="81">
        <f t="shared" si="0"/>
        <v>0</v>
      </c>
      <c r="J15" s="81">
        <f t="shared" si="1"/>
        <v>0</v>
      </c>
      <c r="K15" s="84" t="e">
        <f>+#REF!+#REF!+#REF!+F15+E15</f>
        <v>#REF!</v>
      </c>
      <c r="L15" s="81" t="e">
        <f t="shared" si="2"/>
        <v>#REF!</v>
      </c>
    </row>
    <row r="16" spans="1:35" ht="22.5">
      <c r="A16" s="3280" t="s">
        <v>960</v>
      </c>
      <c r="B16" s="3289"/>
      <c r="C16" s="826">
        <v>150</v>
      </c>
      <c r="D16" s="825">
        <v>150</v>
      </c>
      <c r="E16" s="757">
        <v>78.790000000000006</v>
      </c>
      <c r="F16" s="763">
        <v>38</v>
      </c>
      <c r="G16" s="819"/>
      <c r="H16" s="817"/>
      <c r="I16" s="81">
        <f t="shared" si="0"/>
        <v>116.79</v>
      </c>
      <c r="J16" s="81">
        <f t="shared" si="1"/>
        <v>-33.209999999999994</v>
      </c>
      <c r="K16" s="84" t="e">
        <f>+#REF!+#REF!+#REF!+F16+E16</f>
        <v>#REF!</v>
      </c>
      <c r="L16" s="81" t="e">
        <f t="shared" si="2"/>
        <v>#REF!</v>
      </c>
    </row>
    <row r="17" spans="1:19" s="834" customFormat="1" ht="22.5">
      <c r="A17" s="3276" t="s">
        <v>958</v>
      </c>
      <c r="B17" s="3298"/>
      <c r="C17" s="826">
        <v>10</v>
      </c>
      <c r="D17" s="825">
        <v>0</v>
      </c>
      <c r="E17" s="757">
        <v>0</v>
      </c>
      <c r="F17" s="763">
        <v>0</v>
      </c>
      <c r="G17" s="819"/>
      <c r="H17" s="817"/>
      <c r="I17" s="81">
        <f t="shared" si="0"/>
        <v>0</v>
      </c>
      <c r="J17" s="81">
        <f t="shared" si="1"/>
        <v>0</v>
      </c>
      <c r="K17" s="84" t="e">
        <f>+#REF!+#REF!+#REF!+F17+E17</f>
        <v>#REF!</v>
      </c>
      <c r="L17" s="81" t="e">
        <f t="shared" si="2"/>
        <v>#REF!</v>
      </c>
    </row>
    <row r="18" spans="1:19" ht="41.25" customHeight="1" thickBot="1">
      <c r="A18" s="3302" t="s">
        <v>951</v>
      </c>
      <c r="B18" s="3303"/>
      <c r="C18" s="823">
        <v>50</v>
      </c>
      <c r="D18" s="822">
        <v>20</v>
      </c>
      <c r="E18" s="751">
        <v>11.59</v>
      </c>
      <c r="F18" s="754">
        <v>4</v>
      </c>
      <c r="G18" s="819"/>
      <c r="H18" s="817"/>
      <c r="I18" s="81">
        <f t="shared" si="0"/>
        <v>15.59</v>
      </c>
      <c r="J18" s="81">
        <f t="shared" si="1"/>
        <v>-4.41</v>
      </c>
      <c r="K18" s="84" t="e">
        <f>+#REF!+#REF!+#REF!+F18+E18</f>
        <v>#REF!</v>
      </c>
      <c r="L18" s="81" t="e">
        <f t="shared" si="2"/>
        <v>#REF!</v>
      </c>
      <c r="P18" s="77">
        <v>80</v>
      </c>
      <c r="Q18" s="77">
        <v>69.86</v>
      </c>
      <c r="R18" s="77">
        <v>54.73</v>
      </c>
      <c r="S18" s="77">
        <v>15.130000000000003</v>
      </c>
    </row>
    <row r="19" spans="1:19" ht="41.25" customHeight="1">
      <c r="A19" s="3304" t="s">
        <v>1014</v>
      </c>
      <c r="B19" s="833" t="s">
        <v>1013</v>
      </c>
      <c r="C19" s="829">
        <v>14</v>
      </c>
      <c r="D19" s="832">
        <v>14</v>
      </c>
      <c r="E19" s="790">
        <v>10.69</v>
      </c>
      <c r="F19" s="793">
        <v>3</v>
      </c>
      <c r="G19" s="819"/>
      <c r="H19" s="817"/>
      <c r="I19" s="81">
        <f t="shared" si="0"/>
        <v>13.69</v>
      </c>
      <c r="J19" s="81">
        <f t="shared" si="1"/>
        <v>-0.3100000000000005</v>
      </c>
      <c r="K19" s="84" t="e">
        <f>+#REF!+#REF!+#REF!+F19+E19</f>
        <v>#REF!</v>
      </c>
      <c r="L19" s="81" t="e">
        <f t="shared" si="2"/>
        <v>#REF!</v>
      </c>
    </row>
    <row r="20" spans="1:19" ht="41.25" customHeight="1">
      <c r="A20" s="3305"/>
      <c r="B20" s="831" t="s">
        <v>1012</v>
      </c>
      <c r="C20" s="826">
        <v>48</v>
      </c>
      <c r="D20" s="825">
        <v>48</v>
      </c>
      <c r="E20" s="757">
        <v>27.24</v>
      </c>
      <c r="F20" s="763">
        <v>10</v>
      </c>
      <c r="G20" s="819"/>
      <c r="H20" s="817"/>
      <c r="I20" s="81">
        <f t="shared" si="0"/>
        <v>37.239999999999995</v>
      </c>
      <c r="J20" s="81">
        <f t="shared" si="1"/>
        <v>-10.760000000000005</v>
      </c>
      <c r="K20" s="84" t="e">
        <f>+#REF!+#REF!+#REF!+F20+E20</f>
        <v>#REF!</v>
      </c>
      <c r="L20" s="81" t="e">
        <f t="shared" si="2"/>
        <v>#REF!</v>
      </c>
    </row>
    <row r="21" spans="1:19" ht="21.75" customHeight="1">
      <c r="A21" s="3305"/>
      <c r="B21" s="831" t="s">
        <v>1011</v>
      </c>
      <c r="C21" s="826">
        <v>25</v>
      </c>
      <c r="D21" s="825">
        <v>25</v>
      </c>
      <c r="E21" s="757">
        <v>20.28</v>
      </c>
      <c r="F21" s="763">
        <v>6</v>
      </c>
      <c r="G21" s="819"/>
      <c r="H21" s="817"/>
      <c r="I21" s="81">
        <f>+C19+C20+C21</f>
        <v>87</v>
      </c>
      <c r="J21" s="81">
        <f t="shared" ref="J21:L21" si="3">+D19+D20+D21</f>
        <v>87</v>
      </c>
      <c r="K21" s="81">
        <f t="shared" si="3"/>
        <v>58.21</v>
      </c>
      <c r="L21" s="81">
        <f t="shared" si="3"/>
        <v>19</v>
      </c>
    </row>
    <row r="22" spans="1:19" ht="21.75" customHeight="1">
      <c r="A22" s="3305"/>
      <c r="B22" s="831" t="s">
        <v>965</v>
      </c>
      <c r="C22" s="826">
        <v>2</v>
      </c>
      <c r="D22" s="825">
        <v>2</v>
      </c>
      <c r="E22" s="757">
        <v>1.83</v>
      </c>
      <c r="F22" s="763">
        <v>0</v>
      </c>
      <c r="G22" s="819"/>
      <c r="H22" s="817"/>
      <c r="I22" s="81"/>
      <c r="J22" s="81"/>
      <c r="K22" s="81"/>
      <c r="L22" s="81"/>
    </row>
    <row r="23" spans="1:19" ht="21.75" customHeight="1">
      <c r="A23" s="3305"/>
      <c r="B23" s="831" t="s">
        <v>957</v>
      </c>
      <c r="C23" s="826">
        <v>42</v>
      </c>
      <c r="D23" s="825">
        <v>42</v>
      </c>
      <c r="E23" s="757">
        <v>30.31</v>
      </c>
      <c r="F23" s="763">
        <v>5</v>
      </c>
      <c r="G23" s="819"/>
      <c r="H23" s="817"/>
      <c r="I23" s="81"/>
      <c r="J23" s="81"/>
      <c r="K23" s="81"/>
      <c r="L23" s="81"/>
    </row>
    <row r="24" spans="1:19" ht="22.5">
      <c r="A24" s="3305"/>
      <c r="B24" s="831" t="s">
        <v>1010</v>
      </c>
      <c r="C24" s="826">
        <v>1</v>
      </c>
      <c r="D24" s="825">
        <v>1</v>
      </c>
      <c r="E24" s="757">
        <v>0</v>
      </c>
      <c r="F24" s="763">
        <v>1</v>
      </c>
      <c r="G24" s="819"/>
      <c r="H24" s="817"/>
      <c r="I24" s="81"/>
      <c r="J24" s="81"/>
      <c r="K24" s="81"/>
      <c r="L24" s="81"/>
    </row>
    <row r="25" spans="1:19" ht="22.5">
      <c r="A25" s="3305"/>
      <c r="B25" s="830" t="s">
        <v>1009</v>
      </c>
      <c r="C25" s="826">
        <v>3</v>
      </c>
      <c r="D25" s="825">
        <v>3</v>
      </c>
      <c r="E25" s="757">
        <v>1.66</v>
      </c>
      <c r="F25" s="763">
        <v>0</v>
      </c>
      <c r="G25" s="819"/>
      <c r="H25" s="817"/>
      <c r="I25" s="81">
        <f t="shared" ref="I25:I32" si="4">+E25+F25</f>
        <v>1.66</v>
      </c>
      <c r="J25" s="81">
        <f>+I25-D25</f>
        <v>-1.34</v>
      </c>
      <c r="K25" s="84" t="e">
        <f>+#REF!+#REF!+#REF!+F25+E25</f>
        <v>#REF!</v>
      </c>
      <c r="L25" s="81" t="e">
        <f>+K25-C25</f>
        <v>#REF!</v>
      </c>
    </row>
    <row r="26" spans="1:19" ht="22.5">
      <c r="A26" s="3305"/>
      <c r="B26" s="830" t="s">
        <v>1008</v>
      </c>
      <c r="C26" s="829">
        <v>12</v>
      </c>
      <c r="D26" s="825">
        <v>12</v>
      </c>
      <c r="E26" s="757">
        <v>6.48</v>
      </c>
      <c r="F26" s="763">
        <v>6</v>
      </c>
      <c r="G26" s="819"/>
      <c r="H26" s="817"/>
      <c r="I26" s="81">
        <f t="shared" si="4"/>
        <v>12.48</v>
      </c>
      <c r="J26" s="81">
        <f>+I26-D26</f>
        <v>0.48000000000000043</v>
      </c>
      <c r="K26" s="84" t="e">
        <f>+#REF!+#REF!+#REF!+F26+E26</f>
        <v>#REF!</v>
      </c>
      <c r="L26" s="81" t="e">
        <f>+K26-C26</f>
        <v>#REF!</v>
      </c>
    </row>
    <row r="27" spans="1:19" ht="22.5">
      <c r="A27" s="3305"/>
      <c r="B27" s="830" t="s">
        <v>1007</v>
      </c>
      <c r="C27" s="829">
        <v>12</v>
      </c>
      <c r="D27" s="825">
        <v>12</v>
      </c>
      <c r="E27" s="757">
        <v>6.07</v>
      </c>
      <c r="F27" s="763">
        <v>5</v>
      </c>
      <c r="G27" s="819"/>
      <c r="H27" s="817"/>
      <c r="I27" s="81">
        <f t="shared" si="4"/>
        <v>11.07</v>
      </c>
      <c r="J27" s="81">
        <f>+I27-D27</f>
        <v>-0.92999999999999972</v>
      </c>
      <c r="K27" s="84"/>
      <c r="L27" s="81"/>
    </row>
    <row r="28" spans="1:19" ht="26.25" customHeight="1">
      <c r="A28" s="3305"/>
      <c r="B28" s="828" t="s">
        <v>945</v>
      </c>
      <c r="C28" s="826">
        <v>2</v>
      </c>
      <c r="D28" s="825">
        <v>2</v>
      </c>
      <c r="E28" s="757">
        <v>7.0000000000000007E-2</v>
      </c>
      <c r="F28" s="763">
        <v>1</v>
      </c>
      <c r="G28" s="819"/>
      <c r="H28" s="817"/>
      <c r="I28" s="81">
        <f t="shared" si="4"/>
        <v>1.07</v>
      </c>
      <c r="J28" s="81">
        <f t="shared" ref="J28:J33" si="5">+I28-D28</f>
        <v>-0.92999999999999994</v>
      </c>
      <c r="K28" s="84" t="e">
        <f>+#REF!+#REF!+#REF!+F28+E28</f>
        <v>#REF!</v>
      </c>
      <c r="L28" s="81" t="e">
        <f>+K28-C28</f>
        <v>#REF!</v>
      </c>
    </row>
    <row r="29" spans="1:19" ht="22.5">
      <c r="A29" s="3305"/>
      <c r="B29" s="828" t="s">
        <v>1006</v>
      </c>
      <c r="C29" s="826">
        <v>4</v>
      </c>
      <c r="D29" s="825">
        <v>3</v>
      </c>
      <c r="E29" s="757">
        <v>0.83</v>
      </c>
      <c r="F29" s="763">
        <v>2</v>
      </c>
      <c r="G29" s="819"/>
      <c r="H29" s="817"/>
      <c r="I29" s="81">
        <f t="shared" si="4"/>
        <v>2.83</v>
      </c>
      <c r="J29" s="81">
        <f t="shared" si="5"/>
        <v>-0.16999999999999993</v>
      </c>
      <c r="K29" s="84" t="e">
        <f>+#REF!+#REF!+#REF!+F29+E29</f>
        <v>#REF!</v>
      </c>
      <c r="L29" s="81" t="e">
        <f>+K29-C29</f>
        <v>#REF!</v>
      </c>
    </row>
    <row r="30" spans="1:19" ht="22.5">
      <c r="A30" s="3305"/>
      <c r="B30" s="827" t="s">
        <v>1005</v>
      </c>
      <c r="C30" s="826">
        <v>21</v>
      </c>
      <c r="D30" s="825">
        <v>20</v>
      </c>
      <c r="E30" s="757">
        <v>13.86</v>
      </c>
      <c r="F30" s="763">
        <v>5</v>
      </c>
      <c r="G30" s="819"/>
      <c r="H30" s="817"/>
      <c r="I30" s="81">
        <f t="shared" si="4"/>
        <v>18.86</v>
      </c>
      <c r="J30" s="81">
        <f t="shared" si="5"/>
        <v>-1.1400000000000006</v>
      </c>
      <c r="K30" s="84" t="e">
        <f>+#REF!+#REF!+#REF!+F30+E30</f>
        <v>#REF!</v>
      </c>
      <c r="L30" s="81" t="e">
        <f>+K30-C30</f>
        <v>#REF!</v>
      </c>
    </row>
    <row r="31" spans="1:19" ht="22.5">
      <c r="A31" s="3305"/>
      <c r="B31" s="827" t="s">
        <v>1004</v>
      </c>
      <c r="C31" s="826">
        <v>10</v>
      </c>
      <c r="D31" s="825">
        <v>10</v>
      </c>
      <c r="E31" s="757">
        <v>4.24</v>
      </c>
      <c r="F31" s="763">
        <v>5</v>
      </c>
      <c r="G31" s="819"/>
      <c r="H31" s="817"/>
      <c r="I31" s="81">
        <f t="shared" si="4"/>
        <v>9.24</v>
      </c>
      <c r="J31" s="81">
        <f t="shared" si="5"/>
        <v>-0.75999999999999979</v>
      </c>
      <c r="K31" s="84" t="e">
        <f>+#REF!+#REF!+#REF!+F31+E31</f>
        <v>#REF!</v>
      </c>
      <c r="L31" s="81" t="e">
        <f>+K31-C31</f>
        <v>#REF!</v>
      </c>
    </row>
    <row r="32" spans="1:19" ht="23.25" thickBot="1">
      <c r="A32" s="3306"/>
      <c r="B32" s="824" t="s">
        <v>1003</v>
      </c>
      <c r="C32" s="823">
        <v>1</v>
      </c>
      <c r="D32" s="822">
        <v>1</v>
      </c>
      <c r="E32" s="751">
        <v>0</v>
      </c>
      <c r="F32" s="754">
        <v>1</v>
      </c>
      <c r="G32" s="819"/>
      <c r="H32" s="817"/>
      <c r="I32" s="81">
        <f t="shared" si="4"/>
        <v>1</v>
      </c>
      <c r="J32" s="81">
        <f t="shared" si="5"/>
        <v>0</v>
      </c>
      <c r="K32" s="84" t="e">
        <f>+#REF!+#REF!+#REF!+F32+E32</f>
        <v>#REF!</v>
      </c>
      <c r="L32" s="81" t="e">
        <f>+K32-C32</f>
        <v>#REF!</v>
      </c>
    </row>
    <row r="33" spans="1:11" ht="37.5" customHeight="1" thickBot="1">
      <c r="A33" s="3307" t="s">
        <v>423</v>
      </c>
      <c r="B33" s="3308"/>
      <c r="C33" s="821">
        <f>SUM(C4:C32)</f>
        <v>1011</v>
      </c>
      <c r="D33" s="821">
        <f>SUM(D4:D32)</f>
        <v>852</v>
      </c>
      <c r="E33" s="821">
        <f>SUM(E4:E32)</f>
        <v>527.44000000000005</v>
      </c>
      <c r="F33" s="820">
        <f>SUM(F4:F32)</f>
        <v>200</v>
      </c>
      <c r="G33" s="819"/>
      <c r="H33" s="817"/>
      <c r="I33" s="81">
        <f>SUM(I4:I32)</f>
        <v>750.02000000000021</v>
      </c>
      <c r="J33" s="81">
        <f t="shared" si="5"/>
        <v>-101.97999999999979</v>
      </c>
      <c r="K33" s="84" t="e">
        <f>SUM(K4:K32)</f>
        <v>#REF!</v>
      </c>
    </row>
    <row r="34" spans="1:11">
      <c r="A34" s="818" t="s">
        <v>943</v>
      </c>
      <c r="B34" s="818"/>
      <c r="C34" s="818"/>
      <c r="D34" s="818"/>
      <c r="E34" s="818"/>
      <c r="F34" s="818"/>
      <c r="H34" s="817"/>
    </row>
    <row r="35" spans="1:11">
      <c r="A35" s="3021" t="s">
        <v>1002</v>
      </c>
      <c r="B35" s="3021"/>
      <c r="C35" s="3021"/>
      <c r="D35" s="3021"/>
      <c r="E35" s="3021"/>
      <c r="F35" s="81"/>
    </row>
    <row r="36" spans="1:11" ht="18.75">
      <c r="A36" s="3309" t="s">
        <v>1001</v>
      </c>
      <c r="B36" s="3309"/>
      <c r="C36" s="3309"/>
      <c r="D36" s="3309"/>
      <c r="E36" s="3309"/>
      <c r="G36" s="81"/>
    </row>
  </sheetData>
  <mergeCells count="23">
    <mergeCell ref="A18:B18"/>
    <mergeCell ref="A19:A32"/>
    <mergeCell ref="A33:B33"/>
    <mergeCell ref="A35:E35"/>
    <mergeCell ref="A36:E3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:B5"/>
    <mergeCell ref="A1:F1"/>
    <mergeCell ref="A2:B3"/>
    <mergeCell ref="C2:C3"/>
    <mergeCell ref="D2:F2"/>
    <mergeCell ref="A4:B4"/>
  </mergeCells>
  <printOptions horizontalCentered="1" verticalCentered="1"/>
  <pageMargins left="0.25" right="0.25" top="0.75" bottom="0.75" header="0.3" footer="0.3"/>
  <pageSetup paperSize="9" scale="2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0000"/>
    <pageSetUpPr fitToPage="1"/>
  </sheetPr>
  <dimension ref="A1:AL37"/>
  <sheetViews>
    <sheetView rightToLeft="1" zoomScale="84" zoomScaleNormal="84" workbookViewId="0">
      <selection activeCell="J1" sqref="A1:J37"/>
    </sheetView>
  </sheetViews>
  <sheetFormatPr defaultColWidth="9.125" defaultRowHeight="18"/>
  <cols>
    <col min="1" max="10" width="9.125" style="214"/>
    <col min="11" max="12" width="8" style="214" customWidth="1"/>
    <col min="13" max="14" width="9" style="214" bestFit="1" customWidth="1"/>
    <col min="15" max="16" width="8.125" style="214" bestFit="1" customWidth="1"/>
    <col min="17" max="17" width="9.125" style="214"/>
    <col min="18" max="18" width="6.125" style="214" customWidth="1"/>
    <col min="19" max="19" width="9.75" style="214" customWidth="1"/>
    <col min="20" max="22" width="9.125" style="214"/>
    <col min="23" max="23" width="10" style="214" bestFit="1" customWidth="1"/>
    <col min="24" max="24" width="8.125" style="214" bestFit="1" customWidth="1"/>
    <col min="25" max="25" width="9.125" style="214"/>
    <col min="26" max="26" width="4.25" style="214" customWidth="1"/>
    <col min="27" max="27" width="9.625" style="214" bestFit="1" customWidth="1"/>
    <col min="28" max="30" width="9.125" style="214"/>
    <col min="31" max="31" width="11.375" style="214" bestFit="1" customWidth="1"/>
    <col min="32" max="16384" width="9.125" style="214"/>
  </cols>
  <sheetData>
    <row r="1" spans="11:38" ht="18.75" customHeight="1"/>
    <row r="2" spans="11:38" ht="18.75" customHeight="1">
      <c r="K2" s="888"/>
      <c r="L2" s="3311" t="s">
        <v>1</v>
      </c>
      <c r="M2" s="3311" t="s">
        <v>1030</v>
      </c>
      <c r="N2" s="3311"/>
      <c r="O2" s="3311" t="s">
        <v>1029</v>
      </c>
      <c r="P2" s="3311"/>
      <c r="S2" s="214" t="s">
        <v>1028</v>
      </c>
      <c r="T2" s="214" t="s">
        <v>1027</v>
      </c>
      <c r="V2" s="214" t="s">
        <v>991</v>
      </c>
      <c r="AA2" s="214" t="s">
        <v>1028</v>
      </c>
      <c r="AB2" s="214" t="s">
        <v>1027</v>
      </c>
      <c r="AD2" s="214" t="s">
        <v>991</v>
      </c>
    </row>
    <row r="3" spans="11:38" ht="18.75" customHeight="1" thickBot="1">
      <c r="L3" s="3312"/>
      <c r="M3" s="853" t="s">
        <v>1026</v>
      </c>
      <c r="N3" s="853" t="s">
        <v>1024</v>
      </c>
      <c r="O3" s="853" t="s">
        <v>1025</v>
      </c>
      <c r="P3" s="853" t="s">
        <v>1024</v>
      </c>
      <c r="Q3" s="887"/>
      <c r="S3" s="214" t="s">
        <v>1023</v>
      </c>
      <c r="T3" s="214" t="s">
        <v>1022</v>
      </c>
      <c r="U3" s="214" t="s">
        <v>1021</v>
      </c>
      <c r="V3" s="214" t="s">
        <v>1023</v>
      </c>
      <c r="W3" s="214" t="s">
        <v>1022</v>
      </c>
      <c r="X3" s="214" t="s">
        <v>1021</v>
      </c>
      <c r="AA3" s="214" t="s">
        <v>1023</v>
      </c>
      <c r="AB3" s="214" t="s">
        <v>1022</v>
      </c>
      <c r="AC3" s="214" t="s">
        <v>1021</v>
      </c>
      <c r="AD3" s="214" t="s">
        <v>1023</v>
      </c>
      <c r="AE3" s="214" t="s">
        <v>1022</v>
      </c>
      <c r="AF3" s="214" t="s">
        <v>1021</v>
      </c>
    </row>
    <row r="4" spans="11:38" ht="18.75" customHeight="1" thickBot="1">
      <c r="L4" s="861" t="s">
        <v>416</v>
      </c>
      <c r="M4" s="860">
        <f t="shared" ref="M4:N15" si="0">W4/T4</f>
        <v>389.85082630098458</v>
      </c>
      <c r="N4" s="860">
        <f t="shared" si="0"/>
        <v>860.48767992193223</v>
      </c>
      <c r="O4" s="860">
        <f t="shared" ref="O4:P15" si="1">T4</f>
        <v>366.96774193548384</v>
      </c>
      <c r="P4" s="860">
        <f t="shared" si="1"/>
        <v>132.2258064516129</v>
      </c>
      <c r="S4" s="884" t="s">
        <v>416</v>
      </c>
      <c r="T4" s="877">
        <f t="shared" ref="T4:U9" si="2">AB4/31</f>
        <v>366.96774193548384</v>
      </c>
      <c r="U4" s="877">
        <f t="shared" si="2"/>
        <v>132.2258064516129</v>
      </c>
      <c r="V4" s="884" t="s">
        <v>416</v>
      </c>
      <c r="W4" s="876">
        <f t="shared" ref="W4:X9" si="3">AE4/31</f>
        <v>143062.67741935485</v>
      </c>
      <c r="X4" s="875">
        <f t="shared" si="3"/>
        <v>113778.67741935483</v>
      </c>
      <c r="AA4" s="884" t="s">
        <v>416</v>
      </c>
      <c r="AB4" s="886">
        <f>10962+414</f>
        <v>11376</v>
      </c>
      <c r="AC4" s="885">
        <v>4099</v>
      </c>
      <c r="AD4" s="884" t="s">
        <v>416</v>
      </c>
      <c r="AE4" s="883">
        <f>4305607+129336</f>
        <v>4434943</v>
      </c>
      <c r="AF4" s="875">
        <v>3527139</v>
      </c>
    </row>
    <row r="5" spans="11:38" ht="18.75" customHeight="1" thickBot="1">
      <c r="L5" s="861" t="s">
        <v>38</v>
      </c>
      <c r="M5" s="860">
        <f t="shared" si="0"/>
        <v>381.32365657813472</v>
      </c>
      <c r="N5" s="860">
        <f t="shared" si="0"/>
        <v>867.3243772739994</v>
      </c>
      <c r="O5" s="860">
        <f t="shared" si="1"/>
        <v>365.58064516129031</v>
      </c>
      <c r="P5" s="860">
        <f t="shared" si="1"/>
        <v>115.25806451612904</v>
      </c>
      <c r="S5" s="864" t="s">
        <v>38</v>
      </c>
      <c r="T5" s="877">
        <f t="shared" si="2"/>
        <v>365.58064516129031</v>
      </c>
      <c r="U5" s="877">
        <f t="shared" si="2"/>
        <v>115.25806451612904</v>
      </c>
      <c r="V5" s="864" t="s">
        <v>38</v>
      </c>
      <c r="W5" s="876">
        <f t="shared" si="3"/>
        <v>139404.54838709679</v>
      </c>
      <c r="X5" s="875">
        <f t="shared" si="3"/>
        <v>99966.129032258061</v>
      </c>
      <c r="Y5" s="882"/>
      <c r="AA5" s="864" t="s">
        <v>38</v>
      </c>
      <c r="AB5" s="871">
        <f>10953+380</f>
        <v>11333</v>
      </c>
      <c r="AC5" s="870">
        <v>3573</v>
      </c>
      <c r="AD5" s="864" t="s">
        <v>38</v>
      </c>
      <c r="AE5" s="881">
        <f>4207335+114206</f>
        <v>4321541</v>
      </c>
      <c r="AF5" s="880">
        <v>3098950</v>
      </c>
    </row>
    <row r="6" spans="11:38" ht="18.75" customHeight="1" thickBot="1">
      <c r="L6" s="861" t="s">
        <v>39</v>
      </c>
      <c r="M6" s="860">
        <f t="shared" si="0"/>
        <v>356.34005817772356</v>
      </c>
      <c r="N6" s="860">
        <f t="shared" si="0"/>
        <v>887.09790209790208</v>
      </c>
      <c r="O6" s="860">
        <f t="shared" si="1"/>
        <v>343.77419354838707</v>
      </c>
      <c r="P6" s="860">
        <f t="shared" si="1"/>
        <v>119.93548387096774</v>
      </c>
      <c r="S6" s="864" t="s">
        <v>39</v>
      </c>
      <c r="T6" s="877">
        <f t="shared" si="2"/>
        <v>343.77419354838707</v>
      </c>
      <c r="U6" s="877">
        <f t="shared" si="2"/>
        <v>119.93548387096774</v>
      </c>
      <c r="V6" s="864" t="s">
        <v>39</v>
      </c>
      <c r="W6" s="876">
        <f t="shared" si="3"/>
        <v>122500.51612903226</v>
      </c>
      <c r="X6" s="875">
        <f t="shared" si="3"/>
        <v>106394.51612903226</v>
      </c>
      <c r="AA6" s="864" t="s">
        <v>39</v>
      </c>
      <c r="AB6" s="866">
        <f>10342+315</f>
        <v>10657</v>
      </c>
      <c r="AC6" s="865">
        <f>3717+1</f>
        <v>3718</v>
      </c>
      <c r="AD6" s="864" t="s">
        <v>39</v>
      </c>
      <c r="AE6" s="878">
        <f>3698275+99241</f>
        <v>3797516</v>
      </c>
      <c r="AF6" s="879">
        <f>3297925+305</f>
        <v>3298230</v>
      </c>
    </row>
    <row r="7" spans="11:38" ht="18.75" customHeight="1" thickBot="1">
      <c r="L7" s="861" t="s">
        <v>40</v>
      </c>
      <c r="M7" s="860">
        <f t="shared" si="0"/>
        <v>334.03304347826082</v>
      </c>
      <c r="N7" s="860">
        <f t="shared" si="0"/>
        <v>850.5162900683132</v>
      </c>
      <c r="O7" s="860">
        <f t="shared" si="1"/>
        <v>352.41935483870969</v>
      </c>
      <c r="P7" s="860">
        <f t="shared" si="1"/>
        <v>122.7741935483871</v>
      </c>
      <c r="S7" s="864" t="s">
        <v>40</v>
      </c>
      <c r="T7" s="877">
        <f t="shared" si="2"/>
        <v>352.41935483870969</v>
      </c>
      <c r="U7" s="877">
        <f t="shared" si="2"/>
        <v>122.7741935483871</v>
      </c>
      <c r="V7" s="864" t="s">
        <v>40</v>
      </c>
      <c r="W7" s="876">
        <f t="shared" si="3"/>
        <v>117719.70967741935</v>
      </c>
      <c r="X7" s="875">
        <f t="shared" si="3"/>
        <v>104421.45161290323</v>
      </c>
      <c r="AA7" s="864" t="s">
        <v>40</v>
      </c>
      <c r="AB7" s="871">
        <f>10633+292</f>
        <v>10925</v>
      </c>
      <c r="AC7" s="870">
        <v>3806</v>
      </c>
      <c r="AD7" s="864" t="s">
        <v>40</v>
      </c>
      <c r="AE7" s="878">
        <f>3567577+81734</f>
        <v>3649311</v>
      </c>
      <c r="AF7" s="873">
        <v>3237065</v>
      </c>
    </row>
    <row r="8" spans="11:38" ht="18.75" customHeight="1" thickBot="1">
      <c r="L8" s="861" t="s">
        <v>41</v>
      </c>
      <c r="M8" s="860">
        <f t="shared" si="0"/>
        <v>342.00517607912008</v>
      </c>
      <c r="N8" s="860">
        <f t="shared" si="0"/>
        <v>817.91845282089184</v>
      </c>
      <c r="O8" s="860">
        <f t="shared" si="1"/>
        <v>349</v>
      </c>
      <c r="P8" s="860">
        <f t="shared" si="1"/>
        <v>130.93548387096774</v>
      </c>
      <c r="S8" s="864" t="s">
        <v>41</v>
      </c>
      <c r="T8" s="877">
        <f t="shared" si="2"/>
        <v>349</v>
      </c>
      <c r="U8" s="877">
        <f t="shared" si="2"/>
        <v>130.93548387096774</v>
      </c>
      <c r="V8" s="864" t="s">
        <v>41</v>
      </c>
      <c r="W8" s="876">
        <f t="shared" si="3"/>
        <v>119359.80645161291</v>
      </c>
      <c r="X8" s="875">
        <f t="shared" si="3"/>
        <v>107094.54838709677</v>
      </c>
      <c r="AA8" s="864" t="s">
        <v>41</v>
      </c>
      <c r="AB8" s="866">
        <f>10510+309</f>
        <v>10819</v>
      </c>
      <c r="AC8" s="865">
        <v>4059</v>
      </c>
      <c r="AD8" s="864" t="s">
        <v>41</v>
      </c>
      <c r="AE8" s="874">
        <f>3624915+75239</f>
        <v>3700154</v>
      </c>
      <c r="AF8" s="873">
        <v>3319931</v>
      </c>
    </row>
    <row r="9" spans="11:38" ht="18.75" customHeight="1">
      <c r="L9" s="861" t="s">
        <v>42</v>
      </c>
      <c r="M9" s="860">
        <f t="shared" si="0"/>
        <v>332.00690965624455</v>
      </c>
      <c r="N9" s="860">
        <f t="shared" si="0"/>
        <v>681.41860465116281</v>
      </c>
      <c r="O9" s="860">
        <f t="shared" si="1"/>
        <v>373.48387096774195</v>
      </c>
      <c r="P9" s="860">
        <f t="shared" si="1"/>
        <v>151.19354838709677</v>
      </c>
      <c r="S9" s="864" t="s">
        <v>42</v>
      </c>
      <c r="T9" s="877">
        <f t="shared" si="2"/>
        <v>373.48387096774195</v>
      </c>
      <c r="U9" s="877">
        <f t="shared" si="2"/>
        <v>151.19354838709677</v>
      </c>
      <c r="V9" s="864" t="s">
        <v>42</v>
      </c>
      <c r="W9" s="876">
        <f t="shared" si="3"/>
        <v>123999.22580645161</v>
      </c>
      <c r="X9" s="875">
        <f t="shared" si="3"/>
        <v>103026.09677419355</v>
      </c>
      <c r="AA9" s="864" t="s">
        <v>42</v>
      </c>
      <c r="AB9" s="871">
        <f>11222+356</f>
        <v>11578</v>
      </c>
      <c r="AC9" s="870">
        <f>4686+1</f>
        <v>4687</v>
      </c>
      <c r="AD9" s="864" t="s">
        <v>42</v>
      </c>
      <c r="AE9" s="874">
        <f>3749543+94433</f>
        <v>3843976</v>
      </c>
      <c r="AF9" s="873">
        <f>3193409+400</f>
        <v>3193809</v>
      </c>
    </row>
    <row r="10" spans="11:38" ht="18.75" customHeight="1">
      <c r="L10" s="861" t="s">
        <v>43</v>
      </c>
      <c r="M10" s="860">
        <f t="shared" si="0"/>
        <v>343.33108046396933</v>
      </c>
      <c r="N10" s="860">
        <f t="shared" si="0"/>
        <v>696.27911275415897</v>
      </c>
      <c r="O10" s="860">
        <f t="shared" si="1"/>
        <v>364.96666666666664</v>
      </c>
      <c r="P10" s="860">
        <f t="shared" si="1"/>
        <v>162.30000000000001</v>
      </c>
      <c r="S10" s="864" t="s">
        <v>43</v>
      </c>
      <c r="T10" s="869">
        <f t="shared" ref="T10:U14" si="4">AB10/30</f>
        <v>364.96666666666664</v>
      </c>
      <c r="U10" s="868">
        <f t="shared" si="4"/>
        <v>162.30000000000001</v>
      </c>
      <c r="V10" s="864" t="s">
        <v>43</v>
      </c>
      <c r="W10" s="863">
        <f t="shared" ref="W10:X14" si="5">AE10/30</f>
        <v>125304.4</v>
      </c>
      <c r="X10" s="867">
        <f t="shared" si="5"/>
        <v>113006.1</v>
      </c>
      <c r="AA10" s="864" t="s">
        <v>43</v>
      </c>
      <c r="AB10" s="866">
        <f>10616+333</f>
        <v>10949</v>
      </c>
      <c r="AC10" s="865">
        <v>4869</v>
      </c>
      <c r="AD10" s="864" t="s">
        <v>43</v>
      </c>
      <c r="AE10" s="863">
        <f>3666036+93096</f>
        <v>3759132</v>
      </c>
      <c r="AF10" s="867">
        <v>3390183</v>
      </c>
    </row>
    <row r="11" spans="11:38" ht="18.75" customHeight="1">
      <c r="L11" s="861" t="s">
        <v>405</v>
      </c>
      <c r="M11" s="860">
        <f t="shared" si="0"/>
        <v>340.61636263128798</v>
      </c>
      <c r="N11" s="860">
        <f t="shared" si="0"/>
        <v>669.37298711755238</v>
      </c>
      <c r="O11" s="860">
        <f t="shared" si="1"/>
        <v>361.8</v>
      </c>
      <c r="P11" s="860">
        <f t="shared" si="1"/>
        <v>165.6</v>
      </c>
      <c r="S11" s="864" t="s">
        <v>405</v>
      </c>
      <c r="T11" s="869">
        <f t="shared" si="4"/>
        <v>361.8</v>
      </c>
      <c r="U11" s="868">
        <f t="shared" si="4"/>
        <v>165.6</v>
      </c>
      <c r="V11" s="864" t="s">
        <v>405</v>
      </c>
      <c r="W11" s="863">
        <f t="shared" si="5"/>
        <v>123235</v>
      </c>
      <c r="X11" s="867">
        <f t="shared" si="5"/>
        <v>110848.16666666667</v>
      </c>
      <c r="AA11" s="864" t="s">
        <v>405</v>
      </c>
      <c r="AB11" s="872">
        <f>10493+361</f>
        <v>10854</v>
      </c>
      <c r="AC11" s="862">
        <v>4968</v>
      </c>
      <c r="AD11" s="864" t="s">
        <v>405</v>
      </c>
      <c r="AE11" s="863">
        <f>3592486+104564</f>
        <v>3697050</v>
      </c>
      <c r="AF11" s="867">
        <v>3325445</v>
      </c>
    </row>
    <row r="12" spans="11:38" ht="18.75" customHeight="1">
      <c r="L12" s="861" t="s">
        <v>45</v>
      </c>
      <c r="M12" s="860">
        <f t="shared" si="0"/>
        <v>335.83273445921668</v>
      </c>
      <c r="N12" s="860">
        <f t="shared" si="0"/>
        <v>660.40460526315792</v>
      </c>
      <c r="O12" s="860">
        <f t="shared" si="1"/>
        <v>371.06666666666666</v>
      </c>
      <c r="P12" s="860">
        <f t="shared" si="1"/>
        <v>162.13333333333333</v>
      </c>
      <c r="S12" s="864" t="s">
        <v>45</v>
      </c>
      <c r="T12" s="869">
        <f t="shared" si="4"/>
        <v>371.06666666666666</v>
      </c>
      <c r="U12" s="868">
        <f t="shared" si="4"/>
        <v>162.13333333333333</v>
      </c>
      <c r="V12" s="864" t="s">
        <v>45</v>
      </c>
      <c r="W12" s="863">
        <f t="shared" si="5"/>
        <v>124616.33333333333</v>
      </c>
      <c r="X12" s="867">
        <f t="shared" si="5"/>
        <v>107073.60000000001</v>
      </c>
      <c r="AA12" s="864" t="s">
        <v>45</v>
      </c>
      <c r="AB12" s="866">
        <f>10799+333</f>
        <v>11132</v>
      </c>
      <c r="AC12" s="865">
        <f>4839+25</f>
        <v>4864</v>
      </c>
      <c r="AD12" s="864" t="s">
        <v>45</v>
      </c>
      <c r="AE12" s="863">
        <f>3640701+97789</f>
        <v>3738490</v>
      </c>
      <c r="AF12" s="867">
        <f>3196951+15257</f>
        <v>3212208</v>
      </c>
    </row>
    <row r="13" spans="11:38" ht="18.75" customHeight="1">
      <c r="L13" s="861" t="s">
        <v>406</v>
      </c>
      <c r="M13" s="860">
        <f t="shared" si="0"/>
        <v>335.02133763672225</v>
      </c>
      <c r="N13" s="860">
        <f t="shared" si="0"/>
        <v>672.9904146697229</v>
      </c>
      <c r="O13" s="860">
        <f t="shared" si="1"/>
        <v>371.8</v>
      </c>
      <c r="P13" s="860">
        <f t="shared" si="1"/>
        <v>159.96666666666667</v>
      </c>
      <c r="S13" s="864" t="s">
        <v>406</v>
      </c>
      <c r="T13" s="869">
        <f t="shared" si="4"/>
        <v>371.8</v>
      </c>
      <c r="U13" s="868">
        <f t="shared" si="4"/>
        <v>159.96666666666667</v>
      </c>
      <c r="V13" s="864" t="s">
        <v>406</v>
      </c>
      <c r="W13" s="863">
        <f t="shared" si="5"/>
        <v>124560.93333333333</v>
      </c>
      <c r="X13" s="867">
        <f t="shared" si="5"/>
        <v>107656.03333333334</v>
      </c>
      <c r="AA13" s="864" t="s">
        <v>406</v>
      </c>
      <c r="AB13" s="871">
        <f>10817+337</f>
        <v>11154</v>
      </c>
      <c r="AC13" s="870">
        <f>4777+22</f>
        <v>4799</v>
      </c>
      <c r="AD13" s="864" t="s">
        <v>406</v>
      </c>
      <c r="AE13" s="863">
        <f>3636183+100645</f>
        <v>3736828</v>
      </c>
      <c r="AF13" s="862">
        <f>3219037+10644</f>
        <v>3229681</v>
      </c>
    </row>
    <row r="14" spans="11:38" ht="18.75" customHeight="1">
      <c r="L14" s="861" t="s">
        <v>47</v>
      </c>
      <c r="M14" s="860">
        <f t="shared" si="0"/>
        <v>333.12498861255352</v>
      </c>
      <c r="N14" s="860">
        <f t="shared" si="0"/>
        <v>679.12207051151415</v>
      </c>
      <c r="O14" s="860">
        <f t="shared" si="1"/>
        <v>365.9</v>
      </c>
      <c r="P14" s="860">
        <f t="shared" si="1"/>
        <v>163.56666666666666</v>
      </c>
      <c r="S14" s="864" t="s">
        <v>47</v>
      </c>
      <c r="T14" s="869">
        <f t="shared" si="4"/>
        <v>365.9</v>
      </c>
      <c r="U14" s="868">
        <f t="shared" si="4"/>
        <v>163.56666666666666</v>
      </c>
      <c r="V14" s="864" t="s">
        <v>47</v>
      </c>
      <c r="W14" s="863">
        <f t="shared" si="5"/>
        <v>121890.43333333333</v>
      </c>
      <c r="X14" s="867">
        <f t="shared" si="5"/>
        <v>111081.73333333334</v>
      </c>
      <c r="AA14" s="864" t="s">
        <v>47</v>
      </c>
      <c r="AB14" s="866">
        <f>10640+337</f>
        <v>10977</v>
      </c>
      <c r="AC14" s="865">
        <f>4877+30</f>
        <v>4907</v>
      </c>
      <c r="AD14" s="864" t="s">
        <v>47</v>
      </c>
      <c r="AE14" s="863">
        <f>3556285+100428</f>
        <v>3656713</v>
      </c>
      <c r="AF14" s="862">
        <f>3320591+11861</f>
        <v>3332452</v>
      </c>
      <c r="AI14" s="846">
        <f>96451866-AI15</f>
        <v>291436</v>
      </c>
      <c r="AL14" s="846">
        <f>+AB16+AC16+49812+1284</f>
        <v>236638</v>
      </c>
    </row>
    <row r="15" spans="11:38" ht="18.75" customHeight="1" thickBot="1">
      <c r="L15" s="861" t="s">
        <v>48</v>
      </c>
      <c r="M15" s="860">
        <f t="shared" si="0"/>
        <v>331.16218747073697</v>
      </c>
      <c r="N15" s="860">
        <f t="shared" si="0"/>
        <v>685.06197478991601</v>
      </c>
      <c r="O15" s="860">
        <f t="shared" si="1"/>
        <v>368.24137931034483</v>
      </c>
      <c r="P15" s="860">
        <f t="shared" si="1"/>
        <v>164.13793103448276</v>
      </c>
      <c r="S15" s="857" t="s">
        <v>48</v>
      </c>
      <c r="T15" s="859">
        <f>AB15/29</f>
        <v>368.24137931034483</v>
      </c>
      <c r="U15" s="858">
        <f>AC15/29</f>
        <v>164.13793103448276</v>
      </c>
      <c r="V15" s="857" t="s">
        <v>48</v>
      </c>
      <c r="W15" s="856">
        <f>AE15/29</f>
        <v>121947.62068965517</v>
      </c>
      <c r="X15" s="855">
        <f>AF15/29</f>
        <v>112444.6551724138</v>
      </c>
      <c r="AA15" s="857" t="s">
        <v>48</v>
      </c>
      <c r="AB15" s="856">
        <f>10357+322</f>
        <v>10679</v>
      </c>
      <c r="AC15" s="855">
        <f>4733+27</f>
        <v>4760</v>
      </c>
      <c r="AD15" s="857" t="s">
        <v>48</v>
      </c>
      <c r="AE15" s="856">
        <f>3442170+94311</f>
        <v>3536481</v>
      </c>
      <c r="AF15" s="855">
        <f>3245413+15482</f>
        <v>3260895</v>
      </c>
      <c r="AI15" s="846">
        <f>+AF16+AE16+10862307</f>
        <v>96160430</v>
      </c>
    </row>
    <row r="16" spans="11:38" ht="18.75" customHeight="1">
      <c r="O16" s="846"/>
      <c r="AB16" s="846">
        <f>SUM(AB4:AB15)</f>
        <v>132433</v>
      </c>
      <c r="AC16" s="846">
        <f>SUM(AC4:AC15)</f>
        <v>53109</v>
      </c>
      <c r="AD16" s="846">
        <f>SUM(AD4:AD15)</f>
        <v>0</v>
      </c>
      <c r="AE16" s="846">
        <f>SUM(AE4:AE15)</f>
        <v>45872135</v>
      </c>
      <c r="AF16" s="846">
        <f>SUM(AF4:AF15)</f>
        <v>39425988</v>
      </c>
      <c r="AH16" s="846"/>
      <c r="AI16" s="846">
        <f>128344+4089</f>
        <v>132433</v>
      </c>
      <c r="AJ16" s="214">
        <f>44687113+1185022</f>
        <v>45872135</v>
      </c>
    </row>
    <row r="17" spans="12:36" ht="18.75" customHeight="1">
      <c r="T17" s="853"/>
      <c r="W17" s="854"/>
      <c r="AB17" s="846"/>
      <c r="AC17" s="846"/>
      <c r="AE17" s="846"/>
      <c r="AF17" s="846">
        <f>+AF16+AE16</f>
        <v>85298123</v>
      </c>
      <c r="AG17" s="846"/>
      <c r="AI17" s="214">
        <f>53003+106</f>
        <v>53109</v>
      </c>
      <c r="AJ17" s="214">
        <f>39372039+53949</f>
        <v>39425988</v>
      </c>
    </row>
    <row r="18" spans="12:36" ht="18.75" customHeight="1">
      <c r="W18" s="853"/>
      <c r="X18" s="852">
        <f>48777047+1263967</f>
        <v>50041014</v>
      </c>
      <c r="Y18" s="852">
        <f>130498+4757</f>
        <v>135255</v>
      </c>
      <c r="AB18" s="214">
        <f>128344+4089</f>
        <v>132433</v>
      </c>
      <c r="AC18" s="846">
        <f>53003+106</f>
        <v>53109</v>
      </c>
      <c r="AE18" s="846">
        <f>44687113+1185022</f>
        <v>45872135</v>
      </c>
      <c r="AF18" s="846">
        <f>39372039+53949</f>
        <v>39425988</v>
      </c>
    </row>
    <row r="19" spans="12:36" ht="18.75" customHeight="1">
      <c r="X19" s="852">
        <f>28926385+5499</f>
        <v>28931884</v>
      </c>
      <c r="Y19" s="852">
        <f>42873+42</f>
        <v>42915</v>
      </c>
      <c r="AC19" s="846">
        <v>917</v>
      </c>
      <c r="AE19" s="846"/>
      <c r="AF19" s="851">
        <v>10875618</v>
      </c>
    </row>
    <row r="20" spans="12:36" ht="18.75" customHeight="1">
      <c r="R20" s="846"/>
      <c r="AC20" s="846">
        <v>48826</v>
      </c>
      <c r="AF20" s="851">
        <v>203398</v>
      </c>
    </row>
    <row r="21" spans="12:36" ht="18.75" customHeight="1">
      <c r="R21" s="846"/>
      <c r="U21" s="846"/>
      <c r="V21" s="846"/>
      <c r="W21" s="846"/>
      <c r="AC21" s="850">
        <f>SUM(AB18:AC20)</f>
        <v>235285</v>
      </c>
      <c r="AF21" s="849">
        <f>SUM(AE18:AF20)</f>
        <v>96377139</v>
      </c>
    </row>
    <row r="22" spans="12:36" ht="18.75" customHeight="1">
      <c r="L22" s="3313"/>
      <c r="M22" s="3313"/>
      <c r="N22" s="3313"/>
      <c r="O22" s="3313"/>
      <c r="P22" s="3313"/>
      <c r="U22" s="848"/>
      <c r="W22" s="847"/>
      <c r="Z22" s="846"/>
    </row>
    <row r="23" spans="12:36" ht="18.75" customHeight="1">
      <c r="L23" s="3313"/>
      <c r="M23" s="845"/>
      <c r="N23" s="845"/>
      <c r="O23" s="845"/>
      <c r="P23" s="845"/>
    </row>
    <row r="24" spans="12:36" ht="18.75" customHeight="1">
      <c r="L24" s="844"/>
      <c r="M24" s="843"/>
      <c r="N24" s="843"/>
      <c r="O24" s="842"/>
      <c r="P24" s="842"/>
    </row>
    <row r="25" spans="12:36" ht="18.75" customHeight="1">
      <c r="L25" s="844"/>
      <c r="M25" s="843"/>
      <c r="N25" s="843"/>
      <c r="O25" s="842"/>
      <c r="P25" s="842"/>
    </row>
    <row r="26" spans="12:36" ht="18.75" customHeight="1">
      <c r="L26" s="844"/>
      <c r="M26" s="843"/>
      <c r="N26" s="843"/>
      <c r="O26" s="842"/>
      <c r="P26" s="842"/>
    </row>
    <row r="27" spans="12:36" ht="18.75" customHeight="1">
      <c r="L27" s="844"/>
      <c r="M27" s="843"/>
      <c r="N27" s="843"/>
      <c r="O27" s="842"/>
      <c r="P27" s="842"/>
    </row>
    <row r="28" spans="12:36" ht="18.75" customHeight="1">
      <c r="L28" s="844"/>
      <c r="M28" s="843"/>
      <c r="N28" s="843"/>
      <c r="O28" s="842"/>
      <c r="P28" s="842"/>
    </row>
    <row r="29" spans="12:36" ht="18.75" customHeight="1">
      <c r="L29" s="844"/>
      <c r="M29" s="843"/>
      <c r="N29" s="843"/>
      <c r="O29" s="842"/>
      <c r="P29" s="842"/>
    </row>
    <row r="30" spans="12:36" ht="18.75" customHeight="1">
      <c r="L30" s="844"/>
      <c r="M30" s="843"/>
      <c r="N30" s="843"/>
      <c r="O30" s="842"/>
      <c r="P30" s="842"/>
    </row>
    <row r="31" spans="12:36" ht="18.75" customHeight="1">
      <c r="L31" s="844"/>
      <c r="M31" s="843"/>
      <c r="N31" s="843"/>
      <c r="O31" s="842"/>
      <c r="P31" s="842"/>
    </row>
    <row r="32" spans="12:36" ht="18.75" customHeight="1">
      <c r="L32" s="844"/>
      <c r="M32" s="843"/>
      <c r="N32" s="843"/>
      <c r="O32" s="842"/>
      <c r="P32" s="842"/>
    </row>
    <row r="33" spans="1:16" ht="18.75" customHeight="1">
      <c r="L33" s="844"/>
      <c r="M33" s="843"/>
      <c r="N33" s="843"/>
      <c r="O33" s="842"/>
      <c r="P33" s="842"/>
    </row>
    <row r="34" spans="1:16" ht="18.75" customHeight="1">
      <c r="L34" s="844"/>
      <c r="M34" s="843"/>
      <c r="N34" s="843"/>
      <c r="O34" s="842"/>
      <c r="P34" s="842"/>
    </row>
    <row r="35" spans="1:16">
      <c r="L35" s="844"/>
      <c r="M35" s="843"/>
      <c r="N35" s="843"/>
      <c r="O35" s="842"/>
      <c r="P35" s="842"/>
    </row>
    <row r="36" spans="1:16">
      <c r="A36" s="841" t="s">
        <v>1020</v>
      </c>
      <c r="B36" s="841"/>
      <c r="C36" s="841"/>
      <c r="D36" s="841"/>
      <c r="E36" s="841"/>
      <c r="F36" s="841"/>
      <c r="G36" s="841"/>
      <c r="H36" s="841"/>
      <c r="I36" s="841"/>
      <c r="J36" s="841"/>
    </row>
    <row r="37" spans="1:16">
      <c r="A37" s="3310" t="s">
        <v>1019</v>
      </c>
      <c r="B37" s="3310"/>
      <c r="C37" s="3310"/>
      <c r="D37" s="3310"/>
      <c r="E37" s="3310"/>
      <c r="F37" s="3310"/>
      <c r="G37" s="3310"/>
      <c r="H37" s="3310"/>
      <c r="I37" s="3310"/>
      <c r="J37" s="3310"/>
    </row>
  </sheetData>
  <mergeCells count="7">
    <mergeCell ref="A37:J37"/>
    <mergeCell ref="L2:L3"/>
    <mergeCell ref="M2:N2"/>
    <mergeCell ref="O2:P2"/>
    <mergeCell ref="L22:L23"/>
    <mergeCell ref="M22:N22"/>
    <mergeCell ref="O22:P2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23" firstPageNumber="80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1:AL37"/>
  <sheetViews>
    <sheetView rightToLeft="1" zoomScale="73" zoomScaleNormal="73" workbookViewId="0">
      <selection activeCell="J1" sqref="A1:J37"/>
    </sheetView>
  </sheetViews>
  <sheetFormatPr defaultColWidth="9.125" defaultRowHeight="18"/>
  <cols>
    <col min="1" max="10" width="9.125" style="214"/>
    <col min="11" max="12" width="8" style="214" customWidth="1"/>
    <col min="13" max="14" width="9" style="214" bestFit="1" customWidth="1"/>
    <col min="15" max="16" width="8.125" style="214" bestFit="1" customWidth="1"/>
    <col min="17" max="17" width="9.125" style="214"/>
    <col min="18" max="18" width="6.125" style="214" customWidth="1"/>
    <col min="19" max="19" width="9.75" style="214" customWidth="1"/>
    <col min="20" max="22" width="9.125" style="214"/>
    <col min="23" max="23" width="10" style="214" bestFit="1" customWidth="1"/>
    <col min="24" max="24" width="8.125" style="214" bestFit="1" customWidth="1"/>
    <col min="25" max="25" width="9.125" style="214"/>
    <col min="26" max="26" width="4.25" style="214" customWidth="1"/>
    <col min="27" max="27" width="9.625" style="214" bestFit="1" customWidth="1"/>
    <col min="28" max="30" width="9.125" style="214"/>
    <col min="31" max="31" width="11.375" style="214" bestFit="1" customWidth="1"/>
    <col min="32" max="32" width="9.375" style="214" customWidth="1"/>
    <col min="33" max="16384" width="9.125" style="214"/>
  </cols>
  <sheetData>
    <row r="1" spans="11:38" ht="18.75" customHeight="1"/>
    <row r="2" spans="11:38" ht="18.75" customHeight="1">
      <c r="K2" s="888"/>
      <c r="L2" s="3311" t="s">
        <v>1</v>
      </c>
      <c r="M2" s="3311" t="s">
        <v>1030</v>
      </c>
      <c r="N2" s="3311"/>
      <c r="O2" s="3311" t="s">
        <v>1029</v>
      </c>
      <c r="P2" s="3311"/>
      <c r="S2" s="214" t="s">
        <v>1028</v>
      </c>
      <c r="T2" s="214" t="s">
        <v>1027</v>
      </c>
      <c r="V2" s="214" t="s">
        <v>991</v>
      </c>
      <c r="AA2" s="214" t="s">
        <v>1028</v>
      </c>
      <c r="AB2" s="214" t="s">
        <v>1027</v>
      </c>
      <c r="AD2" s="214" t="s">
        <v>991</v>
      </c>
    </row>
    <row r="3" spans="11:38" ht="18.75" customHeight="1" thickBot="1">
      <c r="L3" s="3312"/>
      <c r="M3" s="853" t="s">
        <v>1026</v>
      </c>
      <c r="N3" s="853" t="s">
        <v>1024</v>
      </c>
      <c r="O3" s="853" t="s">
        <v>1025</v>
      </c>
      <c r="P3" s="853" t="s">
        <v>1024</v>
      </c>
      <c r="Q3" s="887"/>
      <c r="S3" s="214" t="s">
        <v>1023</v>
      </c>
      <c r="T3" s="214" t="s">
        <v>1022</v>
      </c>
      <c r="U3" s="214" t="s">
        <v>1021</v>
      </c>
      <c r="V3" s="214" t="s">
        <v>1023</v>
      </c>
      <c r="W3" s="214" t="s">
        <v>1022</v>
      </c>
      <c r="X3" s="214" t="s">
        <v>1021</v>
      </c>
      <c r="AA3" s="214" t="s">
        <v>1023</v>
      </c>
      <c r="AB3" s="214" t="s">
        <v>1022</v>
      </c>
      <c r="AC3" s="214" t="s">
        <v>1021</v>
      </c>
      <c r="AD3" s="214" t="s">
        <v>1023</v>
      </c>
      <c r="AE3" s="214" t="s">
        <v>1022</v>
      </c>
      <c r="AF3" s="214" t="s">
        <v>1021</v>
      </c>
    </row>
    <row r="4" spans="11:38" ht="18.75" customHeight="1" thickBot="1">
      <c r="L4" s="861" t="s">
        <v>416</v>
      </c>
      <c r="M4" s="860">
        <f t="shared" ref="M4:N15" si="0">W4/T4</f>
        <v>461.7808204914619</v>
      </c>
      <c r="N4" s="860">
        <f t="shared" si="0"/>
        <v>906.71953727506423</v>
      </c>
      <c r="O4" s="860">
        <f t="shared" ref="O4:P15" si="1">T4</f>
        <v>309.80645161290323</v>
      </c>
      <c r="P4" s="860">
        <f t="shared" si="1"/>
        <v>125.48387096774194</v>
      </c>
      <c r="S4" s="884" t="s">
        <v>416</v>
      </c>
      <c r="T4" s="877">
        <f t="shared" ref="T4:U9" si="2">AB4/31</f>
        <v>309.80645161290323</v>
      </c>
      <c r="U4" s="877">
        <f t="shared" si="2"/>
        <v>125.48387096774194</v>
      </c>
      <c r="V4" s="884" t="s">
        <v>416</v>
      </c>
      <c r="W4" s="876">
        <f t="shared" ref="W4:X9" si="3">AE4/31</f>
        <v>143062.67741935485</v>
      </c>
      <c r="X4" s="875">
        <f t="shared" si="3"/>
        <v>113778.67741935483</v>
      </c>
      <c r="AA4" s="884" t="s">
        <v>416</v>
      </c>
      <c r="AB4" s="886">
        <f>9206+398</f>
        <v>9604</v>
      </c>
      <c r="AC4" s="885">
        <v>3890</v>
      </c>
      <c r="AD4" s="884" t="s">
        <v>416</v>
      </c>
      <c r="AE4" s="883">
        <f>4305607+129336</f>
        <v>4434943</v>
      </c>
      <c r="AF4" s="875">
        <v>3527139</v>
      </c>
    </row>
    <row r="5" spans="11:38" ht="18.75" customHeight="1" thickBot="1">
      <c r="L5" s="861" t="s">
        <v>38</v>
      </c>
      <c r="M5" s="860">
        <f t="shared" si="0"/>
        <v>460.81691192151851</v>
      </c>
      <c r="N5" s="860">
        <f t="shared" si="0"/>
        <v>920.93610698365524</v>
      </c>
      <c r="O5" s="860">
        <f t="shared" si="1"/>
        <v>302.51612903225805</v>
      </c>
      <c r="P5" s="860">
        <f t="shared" si="1"/>
        <v>108.54838709677419</v>
      </c>
      <c r="S5" s="864" t="s">
        <v>38</v>
      </c>
      <c r="T5" s="877">
        <f t="shared" si="2"/>
        <v>302.51612903225805</v>
      </c>
      <c r="U5" s="877">
        <f t="shared" si="2"/>
        <v>108.54838709677419</v>
      </c>
      <c r="V5" s="864" t="s">
        <v>38</v>
      </c>
      <c r="W5" s="876">
        <f t="shared" si="3"/>
        <v>139404.54838709679</v>
      </c>
      <c r="X5" s="875">
        <f t="shared" si="3"/>
        <v>99966.129032258061</v>
      </c>
      <c r="Y5" s="882"/>
      <c r="AA5" s="864" t="s">
        <v>38</v>
      </c>
      <c r="AB5" s="871">
        <f>9024+354</f>
        <v>9378</v>
      </c>
      <c r="AC5" s="870">
        <v>3365</v>
      </c>
      <c r="AD5" s="864" t="s">
        <v>38</v>
      </c>
      <c r="AE5" s="881">
        <f>4207335+114206</f>
        <v>4321541</v>
      </c>
      <c r="AF5" s="880">
        <v>3098950</v>
      </c>
    </row>
    <row r="6" spans="11:38" ht="18.75" customHeight="1" thickBot="1">
      <c r="L6" s="861" t="s">
        <v>39</v>
      </c>
      <c r="M6" s="860">
        <f t="shared" si="0"/>
        <v>445.82249354308527</v>
      </c>
      <c r="N6" s="860">
        <f t="shared" si="0"/>
        <v>930.65180586907445</v>
      </c>
      <c r="O6" s="860">
        <f t="shared" si="1"/>
        <v>274.77419354838707</v>
      </c>
      <c r="P6" s="860">
        <f t="shared" si="1"/>
        <v>114.3225806451613</v>
      </c>
      <c r="S6" s="864" t="s">
        <v>39</v>
      </c>
      <c r="T6" s="877">
        <f t="shared" si="2"/>
        <v>274.77419354838707</v>
      </c>
      <c r="U6" s="877">
        <f t="shared" si="2"/>
        <v>114.3225806451613</v>
      </c>
      <c r="V6" s="864" t="s">
        <v>39</v>
      </c>
      <c r="W6" s="876">
        <f t="shared" si="3"/>
        <v>122500.51612903226</v>
      </c>
      <c r="X6" s="875">
        <f t="shared" si="3"/>
        <v>106394.51612903226</v>
      </c>
      <c r="AA6" s="864" t="s">
        <v>39</v>
      </c>
      <c r="AB6" s="866">
        <f>8226+292</f>
        <v>8518</v>
      </c>
      <c r="AC6" s="865">
        <f>3543+1</f>
        <v>3544</v>
      </c>
      <c r="AD6" s="864" t="s">
        <v>39</v>
      </c>
      <c r="AE6" s="878">
        <f>3698275+99241</f>
        <v>3797516</v>
      </c>
      <c r="AF6" s="879">
        <f>3297925+305</f>
        <v>3298230</v>
      </c>
    </row>
    <row r="7" spans="11:38" ht="18.75" customHeight="1" thickBot="1">
      <c r="L7" s="861" t="s">
        <v>40</v>
      </c>
      <c r="M7" s="860">
        <f t="shared" si="0"/>
        <v>416.30287474332653</v>
      </c>
      <c r="N7" s="860">
        <f t="shared" si="0"/>
        <v>886.62421254450828</v>
      </c>
      <c r="O7" s="860">
        <f t="shared" si="1"/>
        <v>282.77419354838707</v>
      </c>
      <c r="P7" s="860">
        <f t="shared" si="1"/>
        <v>117.7741935483871</v>
      </c>
      <c r="S7" s="864" t="s">
        <v>40</v>
      </c>
      <c r="T7" s="877">
        <f t="shared" si="2"/>
        <v>282.77419354838707</v>
      </c>
      <c r="U7" s="877">
        <f t="shared" si="2"/>
        <v>117.7741935483871</v>
      </c>
      <c r="V7" s="864" t="s">
        <v>40</v>
      </c>
      <c r="W7" s="876">
        <f t="shared" si="3"/>
        <v>117719.70967741935</v>
      </c>
      <c r="X7" s="875">
        <f t="shared" si="3"/>
        <v>104421.45161290323</v>
      </c>
      <c r="AA7" s="864" t="s">
        <v>40</v>
      </c>
      <c r="AB7" s="871">
        <f>8497+269</f>
        <v>8766</v>
      </c>
      <c r="AC7" s="870">
        <v>3651</v>
      </c>
      <c r="AD7" s="864" t="s">
        <v>40</v>
      </c>
      <c r="AE7" s="878">
        <f>3567577+81734</f>
        <v>3649311</v>
      </c>
      <c r="AF7" s="873">
        <v>3237065</v>
      </c>
    </row>
    <row r="8" spans="11:38" ht="18.75" customHeight="1" thickBot="1">
      <c r="L8" s="861" t="s">
        <v>41</v>
      </c>
      <c r="M8" s="860">
        <f t="shared" si="0"/>
        <v>446.6627233220666</v>
      </c>
      <c r="N8" s="860">
        <f t="shared" si="0"/>
        <v>932.04126895002798</v>
      </c>
      <c r="O8" s="860">
        <f t="shared" si="1"/>
        <v>267.22580645161293</v>
      </c>
      <c r="P8" s="860">
        <f t="shared" si="1"/>
        <v>114.90322580645162</v>
      </c>
      <c r="S8" s="864" t="s">
        <v>41</v>
      </c>
      <c r="T8" s="877">
        <f t="shared" si="2"/>
        <v>267.22580645161293</v>
      </c>
      <c r="U8" s="877">
        <f t="shared" si="2"/>
        <v>114.90322580645162</v>
      </c>
      <c r="V8" s="864" t="s">
        <v>41</v>
      </c>
      <c r="W8" s="876">
        <f t="shared" si="3"/>
        <v>119359.80645161291</v>
      </c>
      <c r="X8" s="875">
        <f t="shared" si="3"/>
        <v>107094.54838709677</v>
      </c>
      <c r="AA8" s="864" t="s">
        <v>41</v>
      </c>
      <c r="AB8" s="866">
        <f>7989+295</f>
        <v>8284</v>
      </c>
      <c r="AC8" s="865">
        <v>3562</v>
      </c>
      <c r="AD8" s="864" t="s">
        <v>41</v>
      </c>
      <c r="AE8" s="874">
        <f>3624915+75239</f>
        <v>3700154</v>
      </c>
      <c r="AF8" s="873">
        <v>3319931</v>
      </c>
    </row>
    <row r="9" spans="11:38" ht="18.75" customHeight="1">
      <c r="L9" s="861" t="s">
        <v>42</v>
      </c>
      <c r="M9" s="860">
        <f t="shared" si="0"/>
        <v>461.18488302339529</v>
      </c>
      <c r="N9" s="860">
        <f t="shared" si="0"/>
        <v>930.05503785672681</v>
      </c>
      <c r="O9" s="860">
        <f t="shared" si="1"/>
        <v>268.87096774193549</v>
      </c>
      <c r="P9" s="860">
        <f t="shared" si="1"/>
        <v>110.7741935483871</v>
      </c>
      <c r="S9" s="864" t="s">
        <v>42</v>
      </c>
      <c r="T9" s="877">
        <f t="shared" si="2"/>
        <v>268.87096774193549</v>
      </c>
      <c r="U9" s="877">
        <f t="shared" si="2"/>
        <v>110.7741935483871</v>
      </c>
      <c r="V9" s="864" t="s">
        <v>42</v>
      </c>
      <c r="W9" s="876">
        <f t="shared" si="3"/>
        <v>123999.22580645161</v>
      </c>
      <c r="X9" s="875">
        <f t="shared" si="3"/>
        <v>103026.09677419355</v>
      </c>
      <c r="AA9" s="864" t="s">
        <v>42</v>
      </c>
      <c r="AB9" s="871">
        <f>8008+327</f>
        <v>8335</v>
      </c>
      <c r="AC9" s="870">
        <f>3433+1</f>
        <v>3434</v>
      </c>
      <c r="AD9" s="864" t="s">
        <v>42</v>
      </c>
      <c r="AE9" s="874">
        <f>3749543+94433</f>
        <v>3843976</v>
      </c>
      <c r="AF9" s="873">
        <f>3193409+400</f>
        <v>3193809</v>
      </c>
    </row>
    <row r="10" spans="11:38" ht="18.75" customHeight="1">
      <c r="L10" s="861" t="s">
        <v>43</v>
      </c>
      <c r="M10" s="860">
        <f t="shared" si="0"/>
        <v>463.51812577065351</v>
      </c>
      <c r="N10" s="860">
        <f t="shared" si="0"/>
        <v>959.57628078120581</v>
      </c>
      <c r="O10" s="860">
        <f t="shared" si="1"/>
        <v>270.33333333333331</v>
      </c>
      <c r="P10" s="860">
        <f t="shared" si="1"/>
        <v>117.76666666666667</v>
      </c>
      <c r="S10" s="864" t="s">
        <v>43</v>
      </c>
      <c r="T10" s="869">
        <f t="shared" ref="T10:U14" si="4">AB10/30</f>
        <v>270.33333333333331</v>
      </c>
      <c r="U10" s="868">
        <f t="shared" si="4"/>
        <v>117.76666666666667</v>
      </c>
      <c r="V10" s="864" t="s">
        <v>43</v>
      </c>
      <c r="W10" s="863">
        <f t="shared" ref="W10:X14" si="5">AE10/30</f>
        <v>125304.4</v>
      </c>
      <c r="X10" s="867">
        <f t="shared" si="5"/>
        <v>113006.1</v>
      </c>
      <c r="AA10" s="864" t="s">
        <v>43</v>
      </c>
      <c r="AB10" s="866">
        <f>7793+317</f>
        <v>8110</v>
      </c>
      <c r="AC10" s="865">
        <v>3533</v>
      </c>
      <c r="AD10" s="864" t="s">
        <v>43</v>
      </c>
      <c r="AE10" s="863">
        <f>3666036+93096</f>
        <v>3759132</v>
      </c>
      <c r="AF10" s="867">
        <v>3390183</v>
      </c>
    </row>
    <row r="11" spans="11:38" ht="18.75" customHeight="1">
      <c r="L11" s="861" t="s">
        <v>405</v>
      </c>
      <c r="M11" s="860">
        <f t="shared" si="0"/>
        <v>463.92897477726189</v>
      </c>
      <c r="N11" s="860">
        <f t="shared" si="0"/>
        <v>937.80174844895657</v>
      </c>
      <c r="O11" s="860">
        <f t="shared" si="1"/>
        <v>265.63333333333333</v>
      </c>
      <c r="P11" s="860">
        <f t="shared" si="1"/>
        <v>118.2</v>
      </c>
      <c r="S11" s="864" t="s">
        <v>405</v>
      </c>
      <c r="T11" s="869">
        <f t="shared" si="4"/>
        <v>265.63333333333333</v>
      </c>
      <c r="U11" s="868">
        <f t="shared" si="4"/>
        <v>118.2</v>
      </c>
      <c r="V11" s="864" t="s">
        <v>405</v>
      </c>
      <c r="W11" s="863">
        <f t="shared" si="5"/>
        <v>123235</v>
      </c>
      <c r="X11" s="867">
        <f t="shared" si="5"/>
        <v>110848.16666666667</v>
      </c>
      <c r="AA11" s="864" t="s">
        <v>405</v>
      </c>
      <c r="AB11" s="872">
        <f>7631+338</f>
        <v>7969</v>
      </c>
      <c r="AC11" s="862">
        <v>3546</v>
      </c>
      <c r="AD11" s="864" t="s">
        <v>405</v>
      </c>
      <c r="AE11" s="863">
        <f>3592486+104564</f>
        <v>3697050</v>
      </c>
      <c r="AF11" s="867">
        <v>3325445</v>
      </c>
    </row>
    <row r="12" spans="11:38" ht="18.75" customHeight="1">
      <c r="L12" s="861" t="s">
        <v>45</v>
      </c>
      <c r="M12" s="860">
        <f t="shared" si="0"/>
        <v>456.19158023184866</v>
      </c>
      <c r="N12" s="860">
        <f t="shared" si="0"/>
        <v>914.89831956707496</v>
      </c>
      <c r="O12" s="860">
        <f t="shared" si="1"/>
        <v>273.16666666666669</v>
      </c>
      <c r="P12" s="860">
        <f t="shared" si="1"/>
        <v>117.03333333333333</v>
      </c>
      <c r="S12" s="864" t="s">
        <v>45</v>
      </c>
      <c r="T12" s="869">
        <f t="shared" si="4"/>
        <v>273.16666666666669</v>
      </c>
      <c r="U12" s="868">
        <f t="shared" si="4"/>
        <v>117.03333333333333</v>
      </c>
      <c r="V12" s="864" t="s">
        <v>45</v>
      </c>
      <c r="W12" s="863">
        <f t="shared" si="5"/>
        <v>124616.33333333333</v>
      </c>
      <c r="X12" s="867">
        <f t="shared" si="5"/>
        <v>107073.60000000001</v>
      </c>
      <c r="AA12" s="864" t="s">
        <v>45</v>
      </c>
      <c r="AB12" s="866">
        <f>7877+318</f>
        <v>8195</v>
      </c>
      <c r="AC12" s="865">
        <f>3487+24</f>
        <v>3511</v>
      </c>
      <c r="AD12" s="864" t="s">
        <v>45</v>
      </c>
      <c r="AE12" s="863">
        <f>3640701+97789</f>
        <v>3738490</v>
      </c>
      <c r="AF12" s="867">
        <f>3196951+15257</f>
        <v>3212208</v>
      </c>
    </row>
    <row r="13" spans="11:38" ht="18.75" customHeight="1">
      <c r="L13" s="861" t="s">
        <v>406</v>
      </c>
      <c r="M13" s="860">
        <f t="shared" si="0"/>
        <v>460.31387041143137</v>
      </c>
      <c r="N13" s="860">
        <f t="shared" si="0"/>
        <v>902.90215264187873</v>
      </c>
      <c r="O13" s="860">
        <f t="shared" si="1"/>
        <v>270.60000000000002</v>
      </c>
      <c r="P13" s="860">
        <f t="shared" si="1"/>
        <v>119.23333333333333</v>
      </c>
      <c r="S13" s="864" t="s">
        <v>406</v>
      </c>
      <c r="T13" s="869">
        <f t="shared" si="4"/>
        <v>270.60000000000002</v>
      </c>
      <c r="U13" s="868">
        <f t="shared" si="4"/>
        <v>119.23333333333333</v>
      </c>
      <c r="V13" s="864" t="s">
        <v>406</v>
      </c>
      <c r="W13" s="863">
        <f t="shared" si="5"/>
        <v>124560.93333333333</v>
      </c>
      <c r="X13" s="867">
        <f t="shared" si="5"/>
        <v>107656.03333333334</v>
      </c>
      <c r="AA13" s="864" t="s">
        <v>406</v>
      </c>
      <c r="AB13" s="871">
        <f>7802+316</f>
        <v>8118</v>
      </c>
      <c r="AC13" s="870">
        <f>3555+22</f>
        <v>3577</v>
      </c>
      <c r="AD13" s="864" t="s">
        <v>406</v>
      </c>
      <c r="AE13" s="863">
        <f>3636183+100645</f>
        <v>3736828</v>
      </c>
      <c r="AF13" s="862">
        <f>3219037+10644</f>
        <v>3229681</v>
      </c>
    </row>
    <row r="14" spans="11:38" ht="18.75" customHeight="1">
      <c r="L14" s="861" t="s">
        <v>47</v>
      </c>
      <c r="M14" s="860">
        <f t="shared" si="0"/>
        <v>452.22767746722724</v>
      </c>
      <c r="N14" s="860">
        <f t="shared" si="0"/>
        <v>910.00873839432006</v>
      </c>
      <c r="O14" s="860">
        <f t="shared" si="1"/>
        <v>269.53333333333336</v>
      </c>
      <c r="P14" s="860">
        <f t="shared" si="1"/>
        <v>122.06666666666666</v>
      </c>
      <c r="S14" s="864" t="s">
        <v>47</v>
      </c>
      <c r="T14" s="869">
        <f t="shared" si="4"/>
        <v>269.53333333333336</v>
      </c>
      <c r="U14" s="868">
        <f t="shared" si="4"/>
        <v>122.06666666666666</v>
      </c>
      <c r="V14" s="864" t="s">
        <v>47</v>
      </c>
      <c r="W14" s="863">
        <f t="shared" si="5"/>
        <v>121890.43333333333</v>
      </c>
      <c r="X14" s="867">
        <f t="shared" si="5"/>
        <v>111081.73333333334</v>
      </c>
      <c r="AA14" s="864" t="s">
        <v>47</v>
      </c>
      <c r="AB14" s="866">
        <f>7752+334</f>
        <v>8086</v>
      </c>
      <c r="AC14" s="865">
        <f>3632+30</f>
        <v>3662</v>
      </c>
      <c r="AD14" s="864" t="s">
        <v>47</v>
      </c>
      <c r="AE14" s="863">
        <f>3556285+100428</f>
        <v>3656713</v>
      </c>
      <c r="AF14" s="862">
        <f>3320591+11861</f>
        <v>3332452</v>
      </c>
      <c r="AI14" s="846">
        <f>96451866-AI15</f>
        <v>291436</v>
      </c>
      <c r="AL14" s="846">
        <f>+AB16+AC16+49812+1284</f>
        <v>195164</v>
      </c>
    </row>
    <row r="15" spans="11:38" ht="18.75" customHeight="1" thickBot="1">
      <c r="L15" s="861" t="s">
        <v>48</v>
      </c>
      <c r="M15" s="860">
        <f t="shared" si="0"/>
        <v>451.13930348258702</v>
      </c>
      <c r="N15" s="860">
        <f t="shared" si="0"/>
        <v>908.07435254803681</v>
      </c>
      <c r="O15" s="860">
        <f t="shared" si="1"/>
        <v>270.31034482758622</v>
      </c>
      <c r="P15" s="860">
        <f t="shared" si="1"/>
        <v>123.82758620689656</v>
      </c>
      <c r="S15" s="857" t="s">
        <v>48</v>
      </c>
      <c r="T15" s="859">
        <f>AB15/29</f>
        <v>270.31034482758622</v>
      </c>
      <c r="U15" s="858">
        <f>AC15/29</f>
        <v>123.82758620689656</v>
      </c>
      <c r="V15" s="857" t="s">
        <v>48</v>
      </c>
      <c r="W15" s="856">
        <f>AE15/29</f>
        <v>121947.62068965517</v>
      </c>
      <c r="X15" s="855">
        <f>AF15/29</f>
        <v>112444.6551724138</v>
      </c>
      <c r="AA15" s="857" t="s">
        <v>48</v>
      </c>
      <c r="AB15" s="856">
        <f>7518+321</f>
        <v>7839</v>
      </c>
      <c r="AC15" s="855">
        <f>3564+27</f>
        <v>3591</v>
      </c>
      <c r="AD15" s="857" t="s">
        <v>48</v>
      </c>
      <c r="AE15" s="856">
        <f>3442170+94311</f>
        <v>3536481</v>
      </c>
      <c r="AF15" s="855">
        <f>3245413+15482</f>
        <v>3260895</v>
      </c>
      <c r="AI15" s="846">
        <f>+AF16+AE16+10862307</f>
        <v>96160430</v>
      </c>
    </row>
    <row r="16" spans="11:38" ht="18.75" customHeight="1">
      <c r="O16" s="846"/>
      <c r="AB16" s="846">
        <f>SUM(AB4:AB15)</f>
        <v>101202</v>
      </c>
      <c r="AC16" s="846">
        <f>SUM(AC4:AC15)</f>
        <v>42866</v>
      </c>
      <c r="AD16" s="846">
        <f>SUM(AD4:AD15)</f>
        <v>0</v>
      </c>
      <c r="AE16" s="846">
        <f>SUM(AE4:AE15)</f>
        <v>45872135</v>
      </c>
      <c r="AF16" s="846">
        <f>SUM(AF4:AF15)</f>
        <v>39425988</v>
      </c>
      <c r="AH16" s="846"/>
      <c r="AI16" s="846">
        <f>128344+4089</f>
        <v>132433</v>
      </c>
      <c r="AJ16" s="214">
        <f>44687113+1185022</f>
        <v>45872135</v>
      </c>
    </row>
    <row r="17" spans="12:36" ht="18.75" customHeight="1">
      <c r="T17" s="853"/>
      <c r="W17" s="854"/>
      <c r="AB17" s="846"/>
      <c r="AC17" s="846"/>
      <c r="AE17" s="846"/>
      <c r="AF17" s="846">
        <f>+AF16+AE16</f>
        <v>85298123</v>
      </c>
      <c r="AG17" s="846"/>
      <c r="AI17" s="214">
        <f>53003+106</f>
        <v>53109</v>
      </c>
      <c r="AJ17" s="214">
        <f>39372039+53949</f>
        <v>39425988</v>
      </c>
    </row>
    <row r="18" spans="12:36" ht="18.75" customHeight="1">
      <c r="W18" s="853"/>
      <c r="X18" s="852">
        <f>48777047+1263967</f>
        <v>50041014</v>
      </c>
      <c r="Y18" s="852">
        <f>130498+4757</f>
        <v>135255</v>
      </c>
      <c r="AB18" s="214">
        <f>128344+4089</f>
        <v>132433</v>
      </c>
      <c r="AC18" s="846">
        <f>53003+106</f>
        <v>53109</v>
      </c>
      <c r="AE18" s="846">
        <f>44687113+1185022</f>
        <v>45872135</v>
      </c>
      <c r="AF18" s="846">
        <f>39372039+53949</f>
        <v>39425988</v>
      </c>
    </row>
    <row r="19" spans="12:36" ht="18.75" customHeight="1">
      <c r="X19" s="852">
        <f>28926385+5499</f>
        <v>28931884</v>
      </c>
      <c r="Y19" s="852">
        <f>42873+42</f>
        <v>42915</v>
      </c>
      <c r="AC19" s="846">
        <v>917</v>
      </c>
      <c r="AE19" s="846"/>
      <c r="AF19" s="851">
        <v>10875618</v>
      </c>
    </row>
    <row r="20" spans="12:36" ht="18.75" customHeight="1">
      <c r="R20" s="846"/>
      <c r="AC20" s="846">
        <v>48826</v>
      </c>
      <c r="AF20" s="851">
        <v>203398</v>
      </c>
    </row>
    <row r="21" spans="12:36" ht="18.75" customHeight="1">
      <c r="R21" s="846"/>
      <c r="U21" s="846"/>
      <c r="V21" s="846"/>
      <c r="W21" s="846"/>
      <c r="AC21" s="850">
        <f>SUM(AB18:AC20)</f>
        <v>235285</v>
      </c>
      <c r="AF21" s="849">
        <f>SUM(AE18:AF20)</f>
        <v>96377139</v>
      </c>
    </row>
    <row r="22" spans="12:36" ht="18.75" customHeight="1">
      <c r="L22" s="3313"/>
      <c r="M22" s="3313"/>
      <c r="N22" s="3313"/>
      <c r="O22" s="3313"/>
      <c r="P22" s="3313"/>
      <c r="U22" s="848"/>
      <c r="W22" s="847"/>
      <c r="Z22" s="846"/>
    </row>
    <row r="23" spans="12:36" ht="18.75" customHeight="1">
      <c r="L23" s="3313"/>
      <c r="M23" s="845"/>
      <c r="N23" s="845"/>
      <c r="O23" s="845"/>
      <c r="P23" s="845"/>
    </row>
    <row r="24" spans="12:36" ht="18.75" customHeight="1">
      <c r="L24" s="844"/>
      <c r="M24" s="843"/>
      <c r="N24" s="843"/>
      <c r="O24" s="842"/>
      <c r="P24" s="842"/>
    </row>
    <row r="25" spans="12:36" ht="18.75" customHeight="1">
      <c r="L25" s="844"/>
      <c r="M25" s="843"/>
      <c r="N25" s="843"/>
      <c r="O25" s="842"/>
      <c r="P25" s="842"/>
    </row>
    <row r="26" spans="12:36" ht="18.75" customHeight="1">
      <c r="L26" s="844"/>
      <c r="M26" s="843"/>
      <c r="N26" s="843"/>
      <c r="O26" s="842"/>
      <c r="P26" s="842"/>
    </row>
    <row r="27" spans="12:36" ht="18.75" customHeight="1">
      <c r="L27" s="844"/>
      <c r="M27" s="843"/>
      <c r="N27" s="843"/>
      <c r="O27" s="842"/>
      <c r="P27" s="842"/>
    </row>
    <row r="28" spans="12:36" ht="18.75" customHeight="1">
      <c r="L28" s="844"/>
      <c r="M28" s="843"/>
      <c r="N28" s="843"/>
      <c r="O28" s="842"/>
      <c r="P28" s="842"/>
    </row>
    <row r="29" spans="12:36" ht="18.75" customHeight="1">
      <c r="L29" s="844"/>
      <c r="M29" s="843"/>
      <c r="N29" s="843"/>
      <c r="O29" s="842"/>
      <c r="P29" s="842"/>
    </row>
    <row r="30" spans="12:36" ht="18.75" customHeight="1">
      <c r="L30" s="844"/>
      <c r="M30" s="843"/>
      <c r="N30" s="843"/>
      <c r="O30" s="842"/>
      <c r="P30" s="842"/>
    </row>
    <row r="31" spans="12:36" ht="18.75" customHeight="1">
      <c r="L31" s="844"/>
      <c r="M31" s="843"/>
      <c r="N31" s="843"/>
      <c r="O31" s="842"/>
      <c r="P31" s="842"/>
    </row>
    <row r="32" spans="12:36" ht="18.75" customHeight="1">
      <c r="L32" s="844"/>
      <c r="M32" s="843"/>
      <c r="N32" s="843"/>
      <c r="O32" s="842"/>
      <c r="P32" s="842"/>
    </row>
    <row r="33" spans="1:16" ht="18.75" customHeight="1">
      <c r="L33" s="844"/>
      <c r="M33" s="843"/>
      <c r="N33" s="843"/>
      <c r="O33" s="842"/>
      <c r="P33" s="842"/>
    </row>
    <row r="34" spans="1:16" ht="18.75" customHeight="1">
      <c r="L34" s="844"/>
      <c r="M34" s="843"/>
      <c r="N34" s="843"/>
      <c r="O34" s="842"/>
      <c r="P34" s="842"/>
    </row>
    <row r="35" spans="1:16">
      <c r="L35" s="844"/>
      <c r="M35" s="843"/>
      <c r="N35" s="843"/>
      <c r="O35" s="842"/>
      <c r="P35" s="842"/>
    </row>
    <row r="36" spans="1:16">
      <c r="A36" s="841" t="s">
        <v>1020</v>
      </c>
      <c r="B36" s="841"/>
      <c r="C36" s="841"/>
      <c r="D36" s="841"/>
      <c r="E36" s="841"/>
      <c r="F36" s="841"/>
      <c r="G36" s="841"/>
      <c r="H36" s="841"/>
      <c r="I36" s="841"/>
      <c r="J36" s="841"/>
    </row>
    <row r="37" spans="1:16">
      <c r="A37" s="3310" t="s">
        <v>1019</v>
      </c>
      <c r="B37" s="3310"/>
      <c r="C37" s="3310"/>
      <c r="D37" s="3310"/>
      <c r="E37" s="3310"/>
      <c r="F37" s="3310"/>
      <c r="G37" s="3310"/>
      <c r="H37" s="3310"/>
      <c r="I37" s="3310"/>
      <c r="J37" s="3310"/>
    </row>
  </sheetData>
  <mergeCells count="7">
    <mergeCell ref="A37:J37"/>
    <mergeCell ref="L2:L3"/>
    <mergeCell ref="M2:N2"/>
    <mergeCell ref="O2:P2"/>
    <mergeCell ref="L22:L23"/>
    <mergeCell ref="M22:N22"/>
    <mergeCell ref="O22:P2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23" firstPageNumber="80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1:N30"/>
  <sheetViews>
    <sheetView rightToLeft="1" zoomScale="93" zoomScaleNormal="93" workbookViewId="0">
      <selection sqref="A1:J26"/>
    </sheetView>
  </sheetViews>
  <sheetFormatPr defaultColWidth="9.125" defaultRowHeight="15.75"/>
  <cols>
    <col min="1" max="1" width="18.375" style="889" customWidth="1"/>
    <col min="2" max="2" width="4.625" style="889" bestFit="1" customWidth="1"/>
    <col min="3" max="3" width="8.75" style="889" customWidth="1"/>
    <col min="4" max="4" width="7.375" style="889" customWidth="1"/>
    <col min="5" max="5" width="8.375" style="889" customWidth="1"/>
    <col min="6" max="6" width="7.25" style="889" customWidth="1"/>
    <col min="7" max="7" width="8.625" style="889" customWidth="1"/>
    <col min="8" max="8" width="9" style="889" customWidth="1"/>
    <col min="9" max="9" width="11.375" style="889" customWidth="1"/>
    <col min="10" max="10" width="9.625" style="889" customWidth="1"/>
    <col min="11" max="16384" width="9.125" style="889"/>
  </cols>
  <sheetData>
    <row r="1" spans="1:14" ht="24">
      <c r="A1" s="3314" t="s">
        <v>1053</v>
      </c>
      <c r="B1" s="3314"/>
      <c r="C1" s="3314"/>
      <c r="D1" s="3314"/>
      <c r="E1" s="3314"/>
      <c r="F1" s="3314"/>
      <c r="G1" s="3314"/>
      <c r="H1" s="3314"/>
      <c r="I1" s="3314"/>
      <c r="J1" s="3314"/>
    </row>
    <row r="2" spans="1:14" ht="16.5" thickBot="1">
      <c r="A2" s="3315" t="s">
        <v>1052</v>
      </c>
      <c r="B2" s="3315"/>
      <c r="C2" s="3316"/>
      <c r="D2" s="3316"/>
      <c r="E2" s="3316"/>
      <c r="F2" s="3315"/>
      <c r="G2" s="3315"/>
      <c r="H2" s="3315"/>
      <c r="I2" s="3315"/>
      <c r="J2" s="3315"/>
    </row>
    <row r="3" spans="1:14" ht="30" customHeight="1" thickBot="1">
      <c r="A3" s="3317" t="s">
        <v>888</v>
      </c>
      <c r="B3" s="3319" t="s">
        <v>737</v>
      </c>
      <c r="C3" s="3321" t="s">
        <v>1051</v>
      </c>
      <c r="D3" s="3322"/>
      <c r="E3" s="3323"/>
      <c r="F3" s="3324" t="s">
        <v>1050</v>
      </c>
      <c r="G3" s="3326" t="s">
        <v>1049</v>
      </c>
      <c r="H3" s="3326" t="s">
        <v>1048</v>
      </c>
      <c r="I3" s="3326" t="s">
        <v>1047</v>
      </c>
      <c r="J3" s="3328" t="s">
        <v>1046</v>
      </c>
    </row>
    <row r="4" spans="1:14" ht="54.75" customHeight="1" thickBot="1">
      <c r="A4" s="3318"/>
      <c r="B4" s="3320"/>
      <c r="C4" s="980" t="s">
        <v>281</v>
      </c>
      <c r="D4" s="979" t="s">
        <v>1045</v>
      </c>
      <c r="E4" s="978" t="s">
        <v>1044</v>
      </c>
      <c r="F4" s="3325"/>
      <c r="G4" s="3327"/>
      <c r="H4" s="3327"/>
      <c r="I4" s="3327"/>
      <c r="J4" s="3329"/>
    </row>
    <row r="5" spans="1:14" ht="20.25" customHeight="1">
      <c r="A5" s="3330" t="s">
        <v>1043</v>
      </c>
      <c r="B5" s="915">
        <v>2</v>
      </c>
      <c r="C5" s="899"/>
      <c r="D5" s="913"/>
      <c r="E5" s="914"/>
      <c r="F5" s="977"/>
      <c r="G5" s="976"/>
      <c r="H5" s="975">
        <v>17</v>
      </c>
      <c r="I5" s="940">
        <f t="shared" ref="I5:I17" si="0">+VALUE(FIXED(H5*C5,0))</f>
        <v>0</v>
      </c>
      <c r="J5" s="3333">
        <f>+I5+I6+I7</f>
        <v>107272</v>
      </c>
      <c r="K5" s="890"/>
    </row>
    <row r="6" spans="1:14" ht="20.25" customHeight="1" thickBot="1">
      <c r="A6" s="3331"/>
      <c r="B6" s="902">
        <v>3</v>
      </c>
      <c r="C6" s="901">
        <f>D6+E6</f>
        <v>243</v>
      </c>
      <c r="D6" s="898"/>
      <c r="E6" s="900">
        <v>243</v>
      </c>
      <c r="F6" s="972">
        <f>C6-G6</f>
        <v>88</v>
      </c>
      <c r="G6" s="974">
        <v>155</v>
      </c>
      <c r="H6" s="941">
        <v>23.5</v>
      </c>
      <c r="I6" s="940">
        <f t="shared" si="0"/>
        <v>5711</v>
      </c>
      <c r="J6" s="3334"/>
      <c r="K6" s="890"/>
    </row>
    <row r="7" spans="1:14" ht="20.25" customHeight="1" thickBot="1">
      <c r="A7" s="3332"/>
      <c r="B7" s="955">
        <v>4</v>
      </c>
      <c r="C7" s="901">
        <f t="shared" ref="C7:C24" si="1">D7+E7</f>
        <v>1811</v>
      </c>
      <c r="D7" s="954">
        <v>688</v>
      </c>
      <c r="E7" s="973">
        <f>990+133</f>
        <v>1123</v>
      </c>
      <c r="F7" s="972">
        <f>C7-G7</f>
        <v>501</v>
      </c>
      <c r="G7" s="934">
        <v>1310</v>
      </c>
      <c r="H7" s="959">
        <v>56.08</v>
      </c>
      <c r="I7" s="958">
        <f t="shared" si="0"/>
        <v>101561</v>
      </c>
      <c r="J7" s="3334"/>
      <c r="K7" s="930"/>
      <c r="L7" s="890">
        <f>+C7*H7</f>
        <v>101560.87999999999</v>
      </c>
      <c r="M7" s="890">
        <f>SUM(C7+C8+C9+C10+C16+C17+C13)</f>
        <v>27543</v>
      </c>
      <c r="N7" s="889">
        <f>C5*H5</f>
        <v>0</v>
      </c>
    </row>
    <row r="8" spans="1:14" ht="20.25" customHeight="1" thickBot="1">
      <c r="A8" s="971" t="s">
        <v>1042</v>
      </c>
      <c r="B8" s="970">
        <v>4</v>
      </c>
      <c r="C8" s="901">
        <f t="shared" si="1"/>
        <v>1908</v>
      </c>
      <c r="D8" s="968">
        <v>1</v>
      </c>
      <c r="E8" s="969">
        <v>1907</v>
      </c>
      <c r="F8" s="961">
        <f>C8-G8</f>
        <v>57</v>
      </c>
      <c r="G8" s="968">
        <v>1851</v>
      </c>
      <c r="H8" s="967">
        <v>67.5</v>
      </c>
      <c r="I8" s="966">
        <f t="shared" si="0"/>
        <v>128790</v>
      </c>
      <c r="J8" s="965">
        <f>+I8</f>
        <v>128790</v>
      </c>
      <c r="K8" s="930"/>
      <c r="L8" s="890">
        <f>+C8*H8</f>
        <v>128790</v>
      </c>
    </row>
    <row r="9" spans="1:14" ht="20.25" customHeight="1" thickBot="1">
      <c r="A9" s="964" t="s">
        <v>1041</v>
      </c>
      <c r="B9" s="963">
        <v>4</v>
      </c>
      <c r="C9" s="901">
        <f t="shared" si="1"/>
        <v>3813</v>
      </c>
      <c r="D9" s="960">
        <v>483</v>
      </c>
      <c r="E9" s="962">
        <v>3330</v>
      </c>
      <c r="F9" s="961">
        <f>C9-G9</f>
        <v>708</v>
      </c>
      <c r="G9" s="960">
        <v>3105</v>
      </c>
      <c r="H9" s="959">
        <v>59.64</v>
      </c>
      <c r="I9" s="958">
        <f t="shared" si="0"/>
        <v>227407</v>
      </c>
      <c r="J9" s="957">
        <f>+I9</f>
        <v>227407</v>
      </c>
      <c r="K9" s="930"/>
      <c r="L9" s="890">
        <f>+C9*H9</f>
        <v>227407.32</v>
      </c>
    </row>
    <row r="10" spans="1:14" ht="20.25" customHeight="1">
      <c r="A10" s="3335" t="s">
        <v>1040</v>
      </c>
      <c r="B10" s="915">
        <v>4</v>
      </c>
      <c r="C10" s="901">
        <f t="shared" si="1"/>
        <v>13631</v>
      </c>
      <c r="D10" s="913">
        <v>17</v>
      </c>
      <c r="E10" s="914">
        <v>13614</v>
      </c>
      <c r="F10" s="3337">
        <f>SUM(C10:C11)-G10</f>
        <v>1620</v>
      </c>
      <c r="G10" s="3339">
        <v>13931</v>
      </c>
      <c r="H10" s="949">
        <v>64.599999999999994</v>
      </c>
      <c r="I10" s="948">
        <f t="shared" si="0"/>
        <v>880563</v>
      </c>
      <c r="J10" s="3333">
        <f>+I10+I11</f>
        <v>1079513</v>
      </c>
      <c r="K10" s="890"/>
      <c r="L10" s="890">
        <f>+C10*H10</f>
        <v>880562.6</v>
      </c>
    </row>
    <row r="11" spans="1:14" ht="20.25" customHeight="1" thickBot="1">
      <c r="A11" s="3336"/>
      <c r="B11" s="909">
        <v>6</v>
      </c>
      <c r="C11" s="901">
        <f t="shared" si="1"/>
        <v>1920</v>
      </c>
      <c r="D11" s="907"/>
      <c r="E11" s="908">
        <v>1920</v>
      </c>
      <c r="F11" s="3338"/>
      <c r="G11" s="3340"/>
      <c r="H11" s="933">
        <v>103.62</v>
      </c>
      <c r="I11" s="956">
        <f t="shared" si="0"/>
        <v>198950</v>
      </c>
      <c r="J11" s="3341"/>
      <c r="K11" s="930"/>
      <c r="L11" s="890"/>
    </row>
    <row r="12" spans="1:14" ht="20.25" customHeight="1">
      <c r="A12" s="3347" t="s">
        <v>1039</v>
      </c>
      <c r="B12" s="946">
        <v>2</v>
      </c>
      <c r="C12" s="901">
        <f t="shared" si="1"/>
        <v>961</v>
      </c>
      <c r="D12" s="942"/>
      <c r="E12" s="953">
        <v>961</v>
      </c>
      <c r="F12" s="3337">
        <f>SUM(C12:C15)-G12</f>
        <v>241</v>
      </c>
      <c r="G12" s="3339">
        <v>1613</v>
      </c>
      <c r="H12" s="941">
        <v>32</v>
      </c>
      <c r="I12" s="940">
        <f t="shared" si="0"/>
        <v>30752</v>
      </c>
      <c r="J12" s="3334">
        <f>+I12+I13</f>
        <v>75954</v>
      </c>
      <c r="K12" s="890"/>
      <c r="L12" s="890"/>
      <c r="N12" s="889">
        <f>C10*H10</f>
        <v>880562.6</v>
      </c>
    </row>
    <row r="13" spans="1:14" ht="20.25" customHeight="1" thickBot="1">
      <c r="A13" s="3332"/>
      <c r="B13" s="955">
        <v>4</v>
      </c>
      <c r="C13" s="901">
        <f t="shared" si="1"/>
        <v>728</v>
      </c>
      <c r="D13" s="954">
        <v>52</v>
      </c>
      <c r="E13" s="953">
        <v>676</v>
      </c>
      <c r="F13" s="3348"/>
      <c r="G13" s="3350"/>
      <c r="H13" s="952">
        <v>62.09</v>
      </c>
      <c r="I13" s="951">
        <f t="shared" si="0"/>
        <v>45202</v>
      </c>
      <c r="J13" s="3334"/>
      <c r="K13" s="930"/>
      <c r="L13" s="890">
        <f>+C13*H13</f>
        <v>45201.520000000004</v>
      </c>
    </row>
    <row r="14" spans="1:14" ht="20.25" customHeight="1">
      <c r="A14" s="950" t="s">
        <v>1038</v>
      </c>
      <c r="B14" s="915">
        <v>6</v>
      </c>
      <c r="C14" s="901">
        <f t="shared" si="1"/>
        <v>162</v>
      </c>
      <c r="D14" s="913"/>
      <c r="E14" s="914">
        <v>162</v>
      </c>
      <c r="F14" s="3348"/>
      <c r="G14" s="3350"/>
      <c r="H14" s="949">
        <v>88.58</v>
      </c>
      <c r="I14" s="948">
        <f t="shared" si="0"/>
        <v>14350</v>
      </c>
      <c r="J14" s="947">
        <f>+I14</f>
        <v>14350</v>
      </c>
      <c r="K14" s="890"/>
      <c r="L14" s="890"/>
      <c r="N14" s="889">
        <f>N12+N7</f>
        <v>880562.6</v>
      </c>
    </row>
    <row r="15" spans="1:14" ht="20.25" customHeight="1">
      <c r="A15" s="943" t="s">
        <v>1037</v>
      </c>
      <c r="B15" s="946">
        <v>6</v>
      </c>
      <c r="C15" s="901">
        <f t="shared" si="1"/>
        <v>3</v>
      </c>
      <c r="D15" s="942">
        <v>3</v>
      </c>
      <c r="E15" s="900"/>
      <c r="F15" s="3349"/>
      <c r="G15" s="3351"/>
      <c r="H15" s="945">
        <v>74.5</v>
      </c>
      <c r="I15" s="940">
        <f t="shared" si="0"/>
        <v>224</v>
      </c>
      <c r="J15" s="944">
        <f>+I15</f>
        <v>224</v>
      </c>
      <c r="K15" s="890"/>
      <c r="L15" s="890"/>
      <c r="N15" s="891">
        <f>N14/964</f>
        <v>913.44668049792529</v>
      </c>
    </row>
    <row r="16" spans="1:14" ht="20.25" customHeight="1">
      <c r="A16" s="943" t="s">
        <v>1036</v>
      </c>
      <c r="B16" s="902">
        <v>4</v>
      </c>
      <c r="C16" s="901">
        <f t="shared" si="1"/>
        <v>4387</v>
      </c>
      <c r="D16" s="942">
        <f>615+13</f>
        <v>628</v>
      </c>
      <c r="E16" s="900">
        <f>3549+74+149-13</f>
        <v>3759</v>
      </c>
      <c r="F16" s="935">
        <f>C16-G16</f>
        <v>501</v>
      </c>
      <c r="G16" s="942">
        <v>3886</v>
      </c>
      <c r="H16" s="941">
        <v>61.83</v>
      </c>
      <c r="I16" s="940">
        <f t="shared" si="0"/>
        <v>271248</v>
      </c>
      <c r="J16" s="939">
        <f>+I16</f>
        <v>271248</v>
      </c>
      <c r="K16" s="930"/>
      <c r="L16" s="890">
        <f>+C16*H16</f>
        <v>271248.21000000002</v>
      </c>
    </row>
    <row r="17" spans="1:14" ht="20.25" customHeight="1" thickBot="1">
      <c r="A17" s="938" t="s">
        <v>1035</v>
      </c>
      <c r="B17" s="937">
        <v>4</v>
      </c>
      <c r="C17" s="901">
        <f t="shared" si="1"/>
        <v>1265</v>
      </c>
      <c r="D17" s="934">
        <v>50</v>
      </c>
      <c r="E17" s="936">
        <v>1215</v>
      </c>
      <c r="F17" s="935">
        <f>C17-G17</f>
        <v>202</v>
      </c>
      <c r="G17" s="934">
        <v>1063</v>
      </c>
      <c r="H17" s="933">
        <v>65.7</v>
      </c>
      <c r="I17" s="932">
        <f t="shared" si="0"/>
        <v>83111</v>
      </c>
      <c r="J17" s="931">
        <f>+I17</f>
        <v>83111</v>
      </c>
      <c r="K17" s="930"/>
      <c r="L17" s="890">
        <f>+C17*H17</f>
        <v>83110.5</v>
      </c>
    </row>
    <row r="18" spans="1:14" ht="20.25" customHeight="1">
      <c r="A18" s="3335" t="s">
        <v>1034</v>
      </c>
      <c r="B18" s="929">
        <v>2</v>
      </c>
      <c r="C18" s="901">
        <v>981</v>
      </c>
      <c r="D18" s="928">
        <v>20</v>
      </c>
      <c r="E18" s="927">
        <v>961</v>
      </c>
      <c r="F18" s="3353"/>
      <c r="G18" s="3354"/>
      <c r="H18" s="926">
        <f>(C5*H5+C12*H12)/(C12+C5)</f>
        <v>32</v>
      </c>
      <c r="I18" s="925">
        <f>+I5+I12</f>
        <v>30752</v>
      </c>
      <c r="J18" s="3359">
        <f>+SUM(I18:I21)</f>
        <v>1987869</v>
      </c>
      <c r="K18" s="890"/>
      <c r="L18" s="890">
        <f>SUM(L7:L17)</f>
        <v>1737881.03</v>
      </c>
    </row>
    <row r="19" spans="1:14" ht="20.25" customHeight="1">
      <c r="A19" s="3352"/>
      <c r="B19" s="920">
        <v>3</v>
      </c>
      <c r="C19" s="901">
        <v>243</v>
      </c>
      <c r="D19" s="924"/>
      <c r="E19" s="923">
        <v>243</v>
      </c>
      <c r="F19" s="3355"/>
      <c r="G19" s="3356"/>
      <c r="H19" s="922">
        <f t="shared" ref="H19:I19" si="2">+H6</f>
        <v>23.5</v>
      </c>
      <c r="I19" s="921">
        <f t="shared" si="2"/>
        <v>5711</v>
      </c>
      <c r="J19" s="3360"/>
      <c r="K19" s="890"/>
      <c r="L19" s="889">
        <f>L18/M7</f>
        <v>63.09701303416476</v>
      </c>
    </row>
    <row r="20" spans="1:14" ht="20.25" customHeight="1">
      <c r="A20" s="3352"/>
      <c r="B20" s="920">
        <v>4</v>
      </c>
      <c r="C20" s="901">
        <v>27581</v>
      </c>
      <c r="D20" s="924">
        <v>1953</v>
      </c>
      <c r="E20" s="923">
        <v>25629</v>
      </c>
      <c r="F20" s="3355"/>
      <c r="G20" s="3356"/>
      <c r="H20" s="922">
        <f>(C7*H7+C8*H8+C9*H9+C10*H10+C13*H13+C16*H16+C17*H17)/(C17+C16+C13+C10+C9+C8+C7)</f>
        <v>63.09701303416476</v>
      </c>
      <c r="I20" s="921">
        <f>+I7+I8+I9+I10+I13+I16+I17</f>
        <v>1737882</v>
      </c>
      <c r="J20" s="3360"/>
      <c r="K20" s="890"/>
      <c r="N20" s="889">
        <f>+C5*H5</f>
        <v>0</v>
      </c>
    </row>
    <row r="21" spans="1:14" ht="20.25" customHeight="1" thickBot="1">
      <c r="A21" s="3352"/>
      <c r="B21" s="920">
        <v>6</v>
      </c>
      <c r="C21" s="901">
        <v>2085</v>
      </c>
      <c r="D21" s="919">
        <v>3</v>
      </c>
      <c r="E21" s="918">
        <v>2082</v>
      </c>
      <c r="F21" s="3357"/>
      <c r="G21" s="3358"/>
      <c r="H21" s="917">
        <f>(C11*H11+C14*H14+C15*H15)/(C15+C14+C11)</f>
        <v>102.40952517985612</v>
      </c>
      <c r="I21" s="916">
        <f>+I11+I14+I15</f>
        <v>213524</v>
      </c>
      <c r="J21" s="3360"/>
      <c r="L21" s="890">
        <f>SUM(I5:I17)</f>
        <v>1987869</v>
      </c>
      <c r="N21" s="889">
        <f>+C12*H12</f>
        <v>30752</v>
      </c>
    </row>
    <row r="22" spans="1:14" ht="20.25" customHeight="1" thickBot="1">
      <c r="A22" s="3330" t="s">
        <v>1033</v>
      </c>
      <c r="B22" s="915">
        <v>2</v>
      </c>
      <c r="C22" s="901">
        <f t="shared" si="1"/>
        <v>20</v>
      </c>
      <c r="D22" s="913">
        <v>20</v>
      </c>
      <c r="E22" s="914"/>
      <c r="F22" s="899">
        <f>C22-G22</f>
        <v>16</v>
      </c>
      <c r="G22" s="913">
        <v>4</v>
      </c>
      <c r="H22" s="912">
        <v>23</v>
      </c>
      <c r="I22" s="911" t="s">
        <v>95</v>
      </c>
      <c r="J22" s="910" t="s">
        <v>95</v>
      </c>
      <c r="N22" s="889">
        <f>N21+N20</f>
        <v>30752</v>
      </c>
    </row>
    <row r="23" spans="1:14" ht="20.25" customHeight="1" thickBot="1">
      <c r="A23" s="3342"/>
      <c r="B23" s="909">
        <v>4</v>
      </c>
      <c r="C23" s="901">
        <f t="shared" si="1"/>
        <v>14</v>
      </c>
      <c r="D23" s="907">
        <v>14</v>
      </c>
      <c r="E23" s="908"/>
      <c r="F23" s="899">
        <f>C23-G23</f>
        <v>8</v>
      </c>
      <c r="G23" s="907">
        <v>6</v>
      </c>
      <c r="H23" s="906" t="s">
        <v>95</v>
      </c>
      <c r="I23" s="905" t="s">
        <v>95</v>
      </c>
      <c r="J23" s="904" t="s">
        <v>95</v>
      </c>
      <c r="N23" s="889">
        <f>N22/964</f>
        <v>31.900414937759336</v>
      </c>
    </row>
    <row r="24" spans="1:14" ht="20.25" customHeight="1" thickBot="1">
      <c r="A24" s="903" t="s">
        <v>1032</v>
      </c>
      <c r="B24" s="902">
        <v>4</v>
      </c>
      <c r="C24" s="901">
        <f t="shared" si="1"/>
        <v>25</v>
      </c>
      <c r="D24" s="898">
        <v>20</v>
      </c>
      <c r="E24" s="900">
        <v>5</v>
      </c>
      <c r="F24" s="899">
        <f>C24-G24</f>
        <v>25</v>
      </c>
      <c r="G24" s="898">
        <v>0</v>
      </c>
      <c r="H24" s="897" t="s">
        <v>95</v>
      </c>
      <c r="I24" s="896" t="s">
        <v>95</v>
      </c>
      <c r="J24" s="895" t="s">
        <v>95</v>
      </c>
    </row>
    <row r="25" spans="1:14" ht="26.25" customHeight="1" thickBot="1">
      <c r="A25" s="3343" t="s">
        <v>387</v>
      </c>
      <c r="B25" s="3344"/>
      <c r="C25" s="894">
        <f>SUM(C6:C24)-SUM(C18:C21)</f>
        <v>30891</v>
      </c>
      <c r="D25" s="893">
        <f>SUM(D7:D24)-SUM(D18:D21)</f>
        <v>1976</v>
      </c>
      <c r="E25" s="892">
        <f>SUM(E6:E24)-SUM(E18:E21)</f>
        <v>28915</v>
      </c>
      <c r="F25" s="894">
        <f>SUM(F6:F24)</f>
        <v>3967</v>
      </c>
      <c r="G25" s="893">
        <f>SUM(G6:G24)</f>
        <v>26924</v>
      </c>
      <c r="H25" s="893" t="s">
        <v>95</v>
      </c>
      <c r="I25" s="893">
        <f>SUM(I18:I24)</f>
        <v>1987869</v>
      </c>
      <c r="J25" s="892" t="s">
        <v>95</v>
      </c>
      <c r="K25" s="890"/>
    </row>
    <row r="26" spans="1:14">
      <c r="A26" s="3345" t="s">
        <v>1031</v>
      </c>
      <c r="B26" s="3345"/>
      <c r="C26" s="3346"/>
      <c r="D26" s="3346"/>
      <c r="E26" s="3346"/>
      <c r="F26" s="3346"/>
      <c r="G26" s="3346"/>
      <c r="H26" s="3346"/>
      <c r="I26" s="3346"/>
      <c r="J26" s="3346"/>
    </row>
    <row r="27" spans="1:14">
      <c r="C27" s="890"/>
      <c r="D27" s="890"/>
      <c r="E27" s="890"/>
      <c r="F27" s="890"/>
      <c r="H27" s="891"/>
    </row>
    <row r="28" spans="1:14">
      <c r="C28" s="890">
        <f>95-74</f>
        <v>21</v>
      </c>
      <c r="D28" s="890"/>
      <c r="E28" s="890"/>
    </row>
    <row r="29" spans="1:14">
      <c r="D29" s="890"/>
      <c r="E29" s="890"/>
    </row>
    <row r="30" spans="1:14">
      <c r="D30" s="890"/>
    </row>
  </sheetData>
  <mergeCells count="26">
    <mergeCell ref="A22:A23"/>
    <mergeCell ref="A25:B25"/>
    <mergeCell ref="A26:J26"/>
    <mergeCell ref="A12:A13"/>
    <mergeCell ref="F12:F15"/>
    <mergeCell ref="G12:G15"/>
    <mergeCell ref="J12:J13"/>
    <mergeCell ref="A18:A21"/>
    <mergeCell ref="F18:G21"/>
    <mergeCell ref="J18:J21"/>
    <mergeCell ref="A5:A7"/>
    <mergeCell ref="J5:J7"/>
    <mergeCell ref="A10:A11"/>
    <mergeCell ref="F10:F11"/>
    <mergeCell ref="G10:G11"/>
    <mergeCell ref="J10:J11"/>
    <mergeCell ref="A1:J1"/>
    <mergeCell ref="A2:J2"/>
    <mergeCell ref="A3:A4"/>
    <mergeCell ref="B3:B4"/>
    <mergeCell ref="C3:E3"/>
    <mergeCell ref="F3:F4"/>
    <mergeCell ref="G3:G4"/>
    <mergeCell ref="H3:H4"/>
    <mergeCell ref="I3:I4"/>
    <mergeCell ref="J3:J4"/>
  </mergeCells>
  <printOptions horizontalCentered="1" verticalCentered="1"/>
  <pageMargins left="0.19685039370078741" right="0.19685039370078741" top="0.78740157480314965" bottom="0.78740157480314965" header="0.31496062992125984" footer="0.51181102362204722"/>
  <pageSetup paperSize="9"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1:R28"/>
  <sheetViews>
    <sheetView rightToLeft="1" zoomScale="80" zoomScaleNormal="80" workbookViewId="0">
      <selection sqref="A1:R28"/>
    </sheetView>
  </sheetViews>
  <sheetFormatPr defaultColWidth="8" defaultRowHeight="15.75"/>
  <cols>
    <col min="1" max="2" width="5.375" style="77" customWidth="1"/>
    <col min="3" max="18" width="7.875" style="77" customWidth="1"/>
    <col min="19" max="16384" width="8" style="77"/>
  </cols>
  <sheetData>
    <row r="1" spans="1:18" ht="39" customHeight="1" thickBot="1">
      <c r="A1" s="3103" t="s">
        <v>1078</v>
      </c>
      <c r="B1" s="3103"/>
      <c r="C1" s="3103"/>
      <c r="D1" s="3103"/>
      <c r="E1" s="3103"/>
      <c r="F1" s="3103"/>
      <c r="G1" s="3103"/>
      <c r="H1" s="3103"/>
      <c r="I1" s="3103"/>
      <c r="J1" s="3103"/>
      <c r="K1" s="3103"/>
      <c r="L1" s="3103"/>
      <c r="M1" s="3103"/>
      <c r="N1" s="3103"/>
      <c r="O1" s="3103"/>
      <c r="P1" s="3103"/>
      <c r="Q1" s="3103"/>
      <c r="R1" s="3103"/>
    </row>
    <row r="2" spans="1:18" ht="38.25" customHeight="1">
      <c r="A2" s="3361" t="s">
        <v>830</v>
      </c>
      <c r="B2" s="3362"/>
      <c r="C2" s="3365" t="s">
        <v>1077</v>
      </c>
      <c r="D2" s="3366"/>
      <c r="E2" s="3367"/>
      <c r="F2" s="3366" t="s">
        <v>1076</v>
      </c>
      <c r="G2" s="3367"/>
      <c r="H2" s="3365" t="s">
        <v>1075</v>
      </c>
      <c r="I2" s="3366"/>
      <c r="J2" s="3366"/>
      <c r="K2" s="3367"/>
      <c r="L2" s="3368" t="s">
        <v>1074</v>
      </c>
      <c r="M2" s="3369"/>
      <c r="N2" s="3370" t="s">
        <v>1073</v>
      </c>
      <c r="O2" s="3372" t="s">
        <v>1072</v>
      </c>
      <c r="P2" s="3373"/>
      <c r="Q2" s="3369"/>
      <c r="R2" s="3374" t="s">
        <v>1071</v>
      </c>
    </row>
    <row r="3" spans="1:18" ht="38.25" customHeight="1" thickBot="1">
      <c r="A3" s="3363"/>
      <c r="B3" s="3364"/>
      <c r="C3" s="1031" t="s">
        <v>1069</v>
      </c>
      <c r="D3" s="1029" t="s">
        <v>886</v>
      </c>
      <c r="E3" s="1030" t="s">
        <v>1070</v>
      </c>
      <c r="F3" s="1029" t="s">
        <v>1068</v>
      </c>
      <c r="G3" s="1026" t="s">
        <v>1067</v>
      </c>
      <c r="H3" s="1027" t="s">
        <v>1069</v>
      </c>
      <c r="I3" s="1028" t="s">
        <v>1066</v>
      </c>
      <c r="J3" s="1028" t="s">
        <v>883</v>
      </c>
      <c r="K3" s="1028" t="s">
        <v>884</v>
      </c>
      <c r="L3" s="1027" t="s">
        <v>1068</v>
      </c>
      <c r="M3" s="1026" t="s">
        <v>1067</v>
      </c>
      <c r="N3" s="3371"/>
      <c r="O3" s="1025" t="s">
        <v>1066</v>
      </c>
      <c r="P3" s="1024" t="s">
        <v>1065</v>
      </c>
      <c r="Q3" s="1023" t="s">
        <v>1064</v>
      </c>
      <c r="R3" s="3375"/>
    </row>
    <row r="4" spans="1:18" ht="16.5" customHeight="1">
      <c r="A4" s="3057" t="s">
        <v>68</v>
      </c>
      <c r="B4" s="3059"/>
      <c r="C4" s="1001" t="s">
        <v>1060</v>
      </c>
      <c r="D4" s="1022" t="s">
        <v>1060</v>
      </c>
      <c r="E4" s="999" t="s">
        <v>1060</v>
      </c>
      <c r="F4" s="1001">
        <v>1</v>
      </c>
      <c r="G4" s="1021">
        <v>1</v>
      </c>
      <c r="H4" s="1020" t="s">
        <v>95</v>
      </c>
      <c r="I4" s="1019" t="s">
        <v>1060</v>
      </c>
      <c r="J4" s="1018" t="s">
        <v>1060</v>
      </c>
      <c r="K4" s="1017" t="s">
        <v>1060</v>
      </c>
      <c r="L4" s="1017">
        <v>0</v>
      </c>
      <c r="M4" s="1016">
        <v>1</v>
      </c>
      <c r="N4" s="993" t="s">
        <v>95</v>
      </c>
      <c r="O4" s="992" t="s">
        <v>95</v>
      </c>
      <c r="P4" s="1003" t="s">
        <v>1060</v>
      </c>
      <c r="Q4" s="1003" t="s">
        <v>1060</v>
      </c>
      <c r="R4" s="1002">
        <v>2</v>
      </c>
    </row>
    <row r="5" spans="1:18" ht="16.5" customHeight="1">
      <c r="A5" s="3051" t="s">
        <v>69</v>
      </c>
      <c r="B5" s="3053"/>
      <c r="C5" s="1001" t="s">
        <v>95</v>
      </c>
      <c r="D5" s="1010" t="s">
        <v>95</v>
      </c>
      <c r="E5" s="999" t="s">
        <v>95</v>
      </c>
      <c r="F5" s="1001">
        <v>0</v>
      </c>
      <c r="G5" s="1009">
        <v>0</v>
      </c>
      <c r="H5" s="1008" t="s">
        <v>95</v>
      </c>
      <c r="I5" s="1007" t="s">
        <v>95</v>
      </c>
      <c r="J5" s="1006" t="s">
        <v>1060</v>
      </c>
      <c r="K5" s="1005" t="s">
        <v>1060</v>
      </c>
      <c r="L5" s="1005">
        <v>0</v>
      </c>
      <c r="M5" s="1004">
        <v>0</v>
      </c>
      <c r="N5" s="993" t="s">
        <v>95</v>
      </c>
      <c r="O5" s="992" t="s">
        <v>95</v>
      </c>
      <c r="P5" s="1003" t="s">
        <v>1060</v>
      </c>
      <c r="Q5" s="1003" t="s">
        <v>1060</v>
      </c>
      <c r="R5" s="1002">
        <v>1</v>
      </c>
    </row>
    <row r="6" spans="1:18" ht="16.5" customHeight="1">
      <c r="A6" s="3051" t="s">
        <v>86</v>
      </c>
      <c r="B6" s="3053"/>
      <c r="C6" s="1001" t="s">
        <v>95</v>
      </c>
      <c r="D6" s="1010" t="s">
        <v>1060</v>
      </c>
      <c r="E6" s="999" t="s">
        <v>95</v>
      </c>
      <c r="F6" s="1001">
        <v>1</v>
      </c>
      <c r="G6" s="1009">
        <v>0</v>
      </c>
      <c r="H6" s="1008" t="s">
        <v>95</v>
      </c>
      <c r="I6" s="1007" t="s">
        <v>95</v>
      </c>
      <c r="J6" s="1006" t="s">
        <v>1060</v>
      </c>
      <c r="K6" s="1005" t="s">
        <v>1060</v>
      </c>
      <c r="L6" s="1005">
        <v>0</v>
      </c>
      <c r="M6" s="1004">
        <v>1</v>
      </c>
      <c r="N6" s="993" t="s">
        <v>95</v>
      </c>
      <c r="O6" s="992" t="s">
        <v>95</v>
      </c>
      <c r="P6" s="1003" t="s">
        <v>1060</v>
      </c>
      <c r="Q6" s="1003" t="s">
        <v>1060</v>
      </c>
      <c r="R6" s="1002">
        <v>1</v>
      </c>
    </row>
    <row r="7" spans="1:18" ht="16.5" customHeight="1">
      <c r="A7" s="3051" t="s">
        <v>70</v>
      </c>
      <c r="B7" s="3053"/>
      <c r="C7" s="1001" t="s">
        <v>1060</v>
      </c>
      <c r="D7" s="1010" t="s">
        <v>1060</v>
      </c>
      <c r="E7" s="999" t="s">
        <v>1060</v>
      </c>
      <c r="F7" s="1001">
        <v>0</v>
      </c>
      <c r="G7" s="1009">
        <v>4</v>
      </c>
      <c r="H7" s="1001" t="s">
        <v>1060</v>
      </c>
      <c r="I7" s="1006" t="s">
        <v>1060</v>
      </c>
      <c r="J7" s="1006" t="s">
        <v>1060</v>
      </c>
      <c r="K7" s="1005" t="s">
        <v>1060</v>
      </c>
      <c r="L7" s="1005">
        <v>0</v>
      </c>
      <c r="M7" s="1004">
        <v>1</v>
      </c>
      <c r="N7" s="993" t="s">
        <v>95</v>
      </c>
      <c r="O7" s="992" t="s">
        <v>95</v>
      </c>
      <c r="P7" s="1003" t="s">
        <v>1060</v>
      </c>
      <c r="Q7" s="1003" t="s">
        <v>1060</v>
      </c>
      <c r="R7" s="1002">
        <v>1</v>
      </c>
    </row>
    <row r="8" spans="1:18" ht="16.5" customHeight="1">
      <c r="A8" s="3376" t="s">
        <v>1063</v>
      </c>
      <c r="B8" s="3377"/>
      <c r="C8" s="1001" t="s">
        <v>95</v>
      </c>
      <c r="D8" s="1010" t="s">
        <v>95</v>
      </c>
      <c r="E8" s="999" t="s">
        <v>95</v>
      </c>
      <c r="F8" s="1001">
        <v>0</v>
      </c>
      <c r="G8" s="1009">
        <v>0</v>
      </c>
      <c r="H8" s="1012" t="s">
        <v>1060</v>
      </c>
      <c r="I8" s="1006" t="s">
        <v>1060</v>
      </c>
      <c r="J8" s="1006" t="s">
        <v>1060</v>
      </c>
      <c r="K8" s="1005" t="s">
        <v>1060</v>
      </c>
      <c r="L8" s="1005">
        <v>0</v>
      </c>
      <c r="M8" s="1004">
        <v>3</v>
      </c>
      <c r="N8" s="1015" t="s">
        <v>1060</v>
      </c>
      <c r="O8" s="1014" t="s">
        <v>1060</v>
      </c>
      <c r="P8" s="1003" t="s">
        <v>1060</v>
      </c>
      <c r="Q8" s="1003" t="s">
        <v>1060</v>
      </c>
      <c r="R8" s="1002">
        <v>2</v>
      </c>
    </row>
    <row r="9" spans="1:18" ht="16.5" customHeight="1">
      <c r="A9" s="3051" t="s">
        <v>72</v>
      </c>
      <c r="B9" s="3053"/>
      <c r="C9" s="1011" t="s">
        <v>95</v>
      </c>
      <c r="D9" s="1010" t="s">
        <v>1060</v>
      </c>
      <c r="E9" s="999" t="s">
        <v>95</v>
      </c>
      <c r="F9" s="1001">
        <v>1</v>
      </c>
      <c r="G9" s="1009">
        <v>0</v>
      </c>
      <c r="H9" s="1008" t="s">
        <v>95</v>
      </c>
      <c r="I9" s="1007" t="s">
        <v>95</v>
      </c>
      <c r="J9" s="1006" t="s">
        <v>1060</v>
      </c>
      <c r="K9" s="1005" t="s">
        <v>1060</v>
      </c>
      <c r="L9" s="1005">
        <v>0</v>
      </c>
      <c r="M9" s="1004">
        <v>0</v>
      </c>
      <c r="N9" s="993" t="s">
        <v>95</v>
      </c>
      <c r="O9" s="992" t="s">
        <v>95</v>
      </c>
      <c r="P9" s="1003" t="s">
        <v>1060</v>
      </c>
      <c r="Q9" s="1003" t="s">
        <v>1060</v>
      </c>
      <c r="R9" s="1002">
        <v>2</v>
      </c>
    </row>
    <row r="10" spans="1:18" ht="16.5" customHeight="1">
      <c r="A10" s="3051" t="s">
        <v>483</v>
      </c>
      <c r="B10" s="3053"/>
      <c r="C10" s="1011" t="s">
        <v>1060</v>
      </c>
      <c r="D10" s="1010" t="s">
        <v>1060</v>
      </c>
      <c r="E10" s="1013" t="s">
        <v>1060</v>
      </c>
      <c r="F10" s="1001">
        <v>0</v>
      </c>
      <c r="G10" s="1009">
        <v>1</v>
      </c>
      <c r="H10" s="1008" t="s">
        <v>95</v>
      </c>
      <c r="I10" s="1007" t="s">
        <v>95</v>
      </c>
      <c r="J10" s="1006" t="s">
        <v>1060</v>
      </c>
      <c r="K10" s="1005" t="s">
        <v>1060</v>
      </c>
      <c r="L10" s="1005">
        <v>0</v>
      </c>
      <c r="M10" s="1004">
        <v>0</v>
      </c>
      <c r="N10" s="993" t="s">
        <v>95</v>
      </c>
      <c r="O10" s="992" t="s">
        <v>95</v>
      </c>
      <c r="P10" s="1003" t="s">
        <v>1060</v>
      </c>
      <c r="Q10" s="1003" t="s">
        <v>1060</v>
      </c>
      <c r="R10" s="1002">
        <v>2</v>
      </c>
    </row>
    <row r="11" spans="1:18" ht="16.5" customHeight="1">
      <c r="A11" s="3051" t="s">
        <v>401</v>
      </c>
      <c r="B11" s="3053"/>
      <c r="C11" s="1011" t="s">
        <v>1060</v>
      </c>
      <c r="D11" s="1010" t="s">
        <v>1060</v>
      </c>
      <c r="E11" s="1013" t="s">
        <v>1060</v>
      </c>
      <c r="F11" s="1001">
        <v>0</v>
      </c>
      <c r="G11" s="1009">
        <v>1</v>
      </c>
      <c r="H11" s="1008" t="s">
        <v>95</v>
      </c>
      <c r="I11" s="1007" t="s">
        <v>95</v>
      </c>
      <c r="J11" s="1006" t="s">
        <v>1060</v>
      </c>
      <c r="K11" s="1005" t="s">
        <v>1060</v>
      </c>
      <c r="L11" s="1005">
        <v>1</v>
      </c>
      <c r="M11" s="1004">
        <v>0</v>
      </c>
      <c r="N11" s="993" t="s">
        <v>95</v>
      </c>
      <c r="O11" s="992" t="s">
        <v>95</v>
      </c>
      <c r="P11" s="1003" t="s">
        <v>1060</v>
      </c>
      <c r="Q11" s="1003" t="s">
        <v>1060</v>
      </c>
      <c r="R11" s="1002">
        <v>1</v>
      </c>
    </row>
    <row r="12" spans="1:18" ht="16.5" customHeight="1">
      <c r="A12" s="3051" t="s">
        <v>1062</v>
      </c>
      <c r="B12" s="3053"/>
      <c r="C12" s="1011" t="s">
        <v>95</v>
      </c>
      <c r="D12" s="1010" t="s">
        <v>95</v>
      </c>
      <c r="E12" s="999" t="s">
        <v>95</v>
      </c>
      <c r="F12" s="1001">
        <v>0</v>
      </c>
      <c r="G12" s="1009">
        <v>0</v>
      </c>
      <c r="H12" s="1001" t="s">
        <v>1060</v>
      </c>
      <c r="I12" s="1006" t="s">
        <v>1060</v>
      </c>
      <c r="J12" s="1006" t="s">
        <v>1060</v>
      </c>
      <c r="K12" s="1005" t="s">
        <v>1060</v>
      </c>
      <c r="L12" s="1005">
        <v>0</v>
      </c>
      <c r="M12" s="1004">
        <v>1</v>
      </c>
      <c r="N12" s="993" t="s">
        <v>95</v>
      </c>
      <c r="O12" s="992" t="s">
        <v>95</v>
      </c>
      <c r="P12" s="1003" t="s">
        <v>1060</v>
      </c>
      <c r="Q12" s="1003" t="s">
        <v>1060</v>
      </c>
      <c r="R12" s="1002">
        <v>2</v>
      </c>
    </row>
    <row r="13" spans="1:18" ht="16.5" customHeight="1">
      <c r="A13" s="3051" t="s">
        <v>77</v>
      </c>
      <c r="B13" s="3053"/>
      <c r="C13" s="1001" t="s">
        <v>1060</v>
      </c>
      <c r="D13" s="1010" t="s">
        <v>1060</v>
      </c>
      <c r="E13" s="999" t="s">
        <v>1060</v>
      </c>
      <c r="F13" s="1001">
        <v>1</v>
      </c>
      <c r="G13" s="1009">
        <v>1</v>
      </c>
      <c r="H13" s="1001" t="s">
        <v>95</v>
      </c>
      <c r="I13" s="1007" t="s">
        <v>95</v>
      </c>
      <c r="J13" s="1006" t="s">
        <v>1060</v>
      </c>
      <c r="K13" s="1005" t="s">
        <v>1060</v>
      </c>
      <c r="L13" s="1005">
        <v>0</v>
      </c>
      <c r="M13" s="1004">
        <v>1</v>
      </c>
      <c r="N13" s="993" t="s">
        <v>95</v>
      </c>
      <c r="O13" s="992" t="s">
        <v>95</v>
      </c>
      <c r="P13" s="1003" t="s">
        <v>1060</v>
      </c>
      <c r="Q13" s="1003" t="s">
        <v>1060</v>
      </c>
      <c r="R13" s="1002">
        <v>2</v>
      </c>
    </row>
    <row r="14" spans="1:18" ht="16.5" customHeight="1">
      <c r="A14" s="3051" t="s">
        <v>78</v>
      </c>
      <c r="B14" s="3053"/>
      <c r="C14" s="1001" t="s">
        <v>1060</v>
      </c>
      <c r="D14" s="1010" t="s">
        <v>1060</v>
      </c>
      <c r="E14" s="999" t="s">
        <v>1060</v>
      </c>
      <c r="F14" s="1001">
        <v>0</v>
      </c>
      <c r="G14" s="1009">
        <v>1</v>
      </c>
      <c r="H14" s="1012" t="s">
        <v>1060</v>
      </c>
      <c r="I14" s="1006" t="s">
        <v>1060</v>
      </c>
      <c r="J14" s="1006" t="s">
        <v>1060</v>
      </c>
      <c r="K14" s="1005" t="s">
        <v>1060</v>
      </c>
      <c r="L14" s="1005">
        <v>0</v>
      </c>
      <c r="M14" s="1004">
        <v>1</v>
      </c>
      <c r="N14" s="993" t="s">
        <v>95</v>
      </c>
      <c r="O14" s="992" t="s">
        <v>95</v>
      </c>
      <c r="P14" s="1003" t="s">
        <v>1060</v>
      </c>
      <c r="Q14" s="1003" t="s">
        <v>1060</v>
      </c>
      <c r="R14" s="1002">
        <v>2</v>
      </c>
    </row>
    <row r="15" spans="1:18" ht="16.5" customHeight="1">
      <c r="A15" s="3051" t="s">
        <v>79</v>
      </c>
      <c r="B15" s="3053"/>
      <c r="C15" s="1001" t="s">
        <v>1060</v>
      </c>
      <c r="D15" s="1010" t="s">
        <v>1060</v>
      </c>
      <c r="E15" s="999" t="s">
        <v>1060</v>
      </c>
      <c r="F15" s="1001">
        <v>0</v>
      </c>
      <c r="G15" s="1009">
        <v>3</v>
      </c>
      <c r="H15" s="1008" t="s">
        <v>95</v>
      </c>
      <c r="I15" s="1007" t="s">
        <v>95</v>
      </c>
      <c r="J15" s="1006" t="s">
        <v>1060</v>
      </c>
      <c r="K15" s="1005" t="s">
        <v>1060</v>
      </c>
      <c r="L15" s="1005">
        <v>0</v>
      </c>
      <c r="M15" s="1004">
        <v>1</v>
      </c>
      <c r="N15" s="993" t="s">
        <v>95</v>
      </c>
      <c r="O15" s="992" t="s">
        <v>95</v>
      </c>
      <c r="P15" s="1003" t="s">
        <v>1060</v>
      </c>
      <c r="Q15" s="1003" t="s">
        <v>1060</v>
      </c>
      <c r="R15" s="1002">
        <v>1</v>
      </c>
    </row>
    <row r="16" spans="1:18" ht="16.5" customHeight="1">
      <c r="A16" s="3051" t="s">
        <v>402</v>
      </c>
      <c r="B16" s="3053"/>
      <c r="C16" s="1001" t="s">
        <v>1060</v>
      </c>
      <c r="D16" s="1010" t="s">
        <v>1060</v>
      </c>
      <c r="E16" s="999" t="s">
        <v>1060</v>
      </c>
      <c r="F16" s="1001">
        <v>1</v>
      </c>
      <c r="G16" s="1009">
        <v>1</v>
      </c>
      <c r="H16" s="1008" t="s">
        <v>95</v>
      </c>
      <c r="I16" s="1007" t="s">
        <v>95</v>
      </c>
      <c r="J16" s="1006" t="s">
        <v>1060</v>
      </c>
      <c r="K16" s="1005" t="s">
        <v>1060</v>
      </c>
      <c r="L16" s="1005">
        <v>0</v>
      </c>
      <c r="M16" s="1004">
        <v>0</v>
      </c>
      <c r="N16" s="993" t="s">
        <v>95</v>
      </c>
      <c r="O16" s="1003" t="s">
        <v>95</v>
      </c>
      <c r="P16" s="1003" t="s">
        <v>1060</v>
      </c>
      <c r="Q16" s="1003" t="s">
        <v>1060</v>
      </c>
      <c r="R16" s="1002">
        <v>1</v>
      </c>
    </row>
    <row r="17" spans="1:18" ht="16.5" customHeight="1">
      <c r="A17" s="3051" t="s">
        <v>83</v>
      </c>
      <c r="B17" s="3053"/>
      <c r="C17" s="1001" t="s">
        <v>1060</v>
      </c>
      <c r="D17" s="1010" t="s">
        <v>1060</v>
      </c>
      <c r="E17" s="999" t="s">
        <v>1060</v>
      </c>
      <c r="F17" s="1001">
        <v>0</v>
      </c>
      <c r="G17" s="1009">
        <v>1</v>
      </c>
      <c r="H17" s="1008" t="s">
        <v>95</v>
      </c>
      <c r="I17" s="1007" t="s">
        <v>95</v>
      </c>
      <c r="J17" s="1006" t="s">
        <v>1060</v>
      </c>
      <c r="K17" s="1005" t="s">
        <v>1060</v>
      </c>
      <c r="L17" s="1005">
        <v>0</v>
      </c>
      <c r="M17" s="1004">
        <v>1</v>
      </c>
      <c r="N17" s="993" t="s">
        <v>95</v>
      </c>
      <c r="O17" s="992" t="s">
        <v>95</v>
      </c>
      <c r="P17" s="1003" t="s">
        <v>1060</v>
      </c>
      <c r="Q17" s="1003" t="s">
        <v>1060</v>
      </c>
      <c r="R17" s="1002">
        <v>2</v>
      </c>
    </row>
    <row r="18" spans="1:18" ht="16.5" customHeight="1">
      <c r="A18" s="3051" t="s">
        <v>84</v>
      </c>
      <c r="B18" s="3053"/>
      <c r="C18" s="1011" t="s">
        <v>95</v>
      </c>
      <c r="D18" s="1010" t="s">
        <v>95</v>
      </c>
      <c r="E18" s="999" t="s">
        <v>95</v>
      </c>
      <c r="F18" s="1001">
        <v>0</v>
      </c>
      <c r="G18" s="1009">
        <v>0</v>
      </c>
      <c r="H18" s="1008" t="s">
        <v>95</v>
      </c>
      <c r="I18" s="1007" t="s">
        <v>95</v>
      </c>
      <c r="J18" s="1006" t="s">
        <v>1060</v>
      </c>
      <c r="K18" s="1005" t="s">
        <v>1060</v>
      </c>
      <c r="L18" s="1005">
        <v>0</v>
      </c>
      <c r="M18" s="1004">
        <v>0</v>
      </c>
      <c r="N18" s="993" t="s">
        <v>95</v>
      </c>
      <c r="O18" s="992" t="s">
        <v>95</v>
      </c>
      <c r="P18" s="1003" t="s">
        <v>1060</v>
      </c>
      <c r="Q18" s="1003" t="s">
        <v>1060</v>
      </c>
      <c r="R18" s="1002">
        <v>2</v>
      </c>
    </row>
    <row r="19" spans="1:18" ht="16.5" customHeight="1">
      <c r="A19" s="3051" t="s">
        <v>82</v>
      </c>
      <c r="B19" s="3053"/>
      <c r="C19" s="1011" t="s">
        <v>95</v>
      </c>
      <c r="D19" s="1010" t="s">
        <v>95</v>
      </c>
      <c r="E19" s="999" t="s">
        <v>95</v>
      </c>
      <c r="F19" s="1001">
        <v>0</v>
      </c>
      <c r="G19" s="1009">
        <v>0</v>
      </c>
      <c r="H19" s="1008" t="s">
        <v>95</v>
      </c>
      <c r="I19" s="1007" t="s">
        <v>95</v>
      </c>
      <c r="J19" s="1006" t="s">
        <v>1060</v>
      </c>
      <c r="K19" s="1005" t="s">
        <v>1060</v>
      </c>
      <c r="L19" s="1005">
        <v>0</v>
      </c>
      <c r="M19" s="1004">
        <v>0</v>
      </c>
      <c r="N19" s="993" t="s">
        <v>95</v>
      </c>
      <c r="O19" s="992" t="s">
        <v>95</v>
      </c>
      <c r="P19" s="1003" t="s">
        <v>1060</v>
      </c>
      <c r="Q19" s="1003" t="s">
        <v>1060</v>
      </c>
      <c r="R19" s="1002">
        <v>1</v>
      </c>
    </row>
    <row r="20" spans="1:18" ht="16.5" customHeight="1">
      <c r="A20" s="3051" t="s">
        <v>81</v>
      </c>
      <c r="B20" s="3053"/>
      <c r="C20" s="1001" t="s">
        <v>1060</v>
      </c>
      <c r="D20" s="1010" t="s">
        <v>1060</v>
      </c>
      <c r="E20" s="999" t="s">
        <v>1060</v>
      </c>
      <c r="F20" s="1001">
        <v>1</v>
      </c>
      <c r="G20" s="1009">
        <v>1</v>
      </c>
      <c r="H20" s="1008" t="s">
        <v>1060</v>
      </c>
      <c r="I20" s="1007" t="s">
        <v>1060</v>
      </c>
      <c r="J20" s="1006" t="s">
        <v>1060</v>
      </c>
      <c r="K20" s="1005" t="s">
        <v>1060</v>
      </c>
      <c r="L20" s="1005">
        <v>0</v>
      </c>
      <c r="M20" s="1004">
        <v>2</v>
      </c>
      <c r="N20" s="993" t="s">
        <v>95</v>
      </c>
      <c r="O20" s="992" t="s">
        <v>95</v>
      </c>
      <c r="P20" s="1003" t="s">
        <v>1060</v>
      </c>
      <c r="Q20" s="1003" t="s">
        <v>1060</v>
      </c>
      <c r="R20" s="1002">
        <v>2</v>
      </c>
    </row>
    <row r="21" spans="1:18" ht="16.5" customHeight="1">
      <c r="A21" s="3051" t="s">
        <v>85</v>
      </c>
      <c r="B21" s="3053"/>
      <c r="C21" s="1001" t="s">
        <v>1060</v>
      </c>
      <c r="D21" s="1010" t="s">
        <v>1060</v>
      </c>
      <c r="E21" s="999" t="s">
        <v>1060</v>
      </c>
      <c r="F21" s="1001">
        <v>0</v>
      </c>
      <c r="G21" s="1009">
        <v>1</v>
      </c>
      <c r="H21" s="1001" t="s">
        <v>95</v>
      </c>
      <c r="I21" s="1011" t="s">
        <v>95</v>
      </c>
      <c r="J21" s="1006" t="s">
        <v>1060</v>
      </c>
      <c r="K21" s="1005" t="s">
        <v>1060</v>
      </c>
      <c r="L21" s="1005">
        <v>0</v>
      </c>
      <c r="M21" s="1004">
        <v>0</v>
      </c>
      <c r="N21" s="993" t="s">
        <v>95</v>
      </c>
      <c r="O21" s="992" t="s">
        <v>95</v>
      </c>
      <c r="P21" s="1003" t="s">
        <v>1060</v>
      </c>
      <c r="Q21" s="1003" t="s">
        <v>1060</v>
      </c>
      <c r="R21" s="1002">
        <v>1</v>
      </c>
    </row>
    <row r="22" spans="1:18" ht="16.5" customHeight="1">
      <c r="A22" s="3051" t="s">
        <v>87</v>
      </c>
      <c r="B22" s="3053"/>
      <c r="C22" s="1011" t="s">
        <v>95</v>
      </c>
      <c r="D22" s="1010" t="s">
        <v>1060</v>
      </c>
      <c r="E22" s="999" t="s">
        <v>95</v>
      </c>
      <c r="F22" s="1001">
        <v>1</v>
      </c>
      <c r="G22" s="1009">
        <v>0</v>
      </c>
      <c r="H22" s="1008" t="s">
        <v>95</v>
      </c>
      <c r="I22" s="1007" t="s">
        <v>95</v>
      </c>
      <c r="J22" s="1006" t="s">
        <v>1060</v>
      </c>
      <c r="K22" s="1005" t="s">
        <v>1060</v>
      </c>
      <c r="L22" s="1005">
        <v>0</v>
      </c>
      <c r="M22" s="1004">
        <v>0</v>
      </c>
      <c r="N22" s="993" t="s">
        <v>95</v>
      </c>
      <c r="O22" s="992" t="s">
        <v>95</v>
      </c>
      <c r="P22" s="1003" t="s">
        <v>1060</v>
      </c>
      <c r="Q22" s="1003" t="s">
        <v>1060</v>
      </c>
      <c r="R22" s="1002">
        <v>1</v>
      </c>
    </row>
    <row r="23" spans="1:18" ht="16.5" customHeight="1" thickBot="1">
      <c r="A23" s="3060" t="s">
        <v>1061</v>
      </c>
      <c r="B23" s="3062"/>
      <c r="C23" s="1001" t="s">
        <v>1060</v>
      </c>
      <c r="D23" s="1000" t="s">
        <v>1060</v>
      </c>
      <c r="E23" s="999" t="s">
        <v>1060</v>
      </c>
      <c r="F23" s="997">
        <v>0</v>
      </c>
      <c r="G23" s="998">
        <v>1</v>
      </c>
      <c r="H23" s="997" t="s">
        <v>95</v>
      </c>
      <c r="I23" s="996" t="s">
        <v>95</v>
      </c>
      <c r="J23" s="996" t="s">
        <v>95</v>
      </c>
      <c r="K23" s="996" t="s">
        <v>95</v>
      </c>
      <c r="L23" s="995">
        <v>0</v>
      </c>
      <c r="M23" s="994">
        <v>0</v>
      </c>
      <c r="N23" s="993" t="s">
        <v>95</v>
      </c>
      <c r="O23" s="992" t="s">
        <v>95</v>
      </c>
      <c r="P23" s="992" t="s">
        <v>95</v>
      </c>
      <c r="Q23" s="992" t="s">
        <v>95</v>
      </c>
      <c r="R23" s="991">
        <v>0</v>
      </c>
    </row>
    <row r="24" spans="1:18" ht="21" thickBot="1">
      <c r="A24" s="3378" t="s">
        <v>1059</v>
      </c>
      <c r="B24" s="3379"/>
      <c r="C24" s="990" t="s">
        <v>95</v>
      </c>
      <c r="D24" s="989" t="s">
        <v>95</v>
      </c>
      <c r="E24" s="988" t="s">
        <v>95</v>
      </c>
      <c r="F24" s="984">
        <f>SUM(F4:F23)</f>
        <v>7</v>
      </c>
      <c r="G24" s="987">
        <f>SUM(G4:G23)</f>
        <v>17</v>
      </c>
      <c r="H24" s="986" t="s">
        <v>95</v>
      </c>
      <c r="I24" s="985" t="s">
        <v>95</v>
      </c>
      <c r="J24" s="985" t="s">
        <v>95</v>
      </c>
      <c r="K24" s="985" t="s">
        <v>95</v>
      </c>
      <c r="L24" s="984">
        <f>SUM(L4:L23)</f>
        <v>1</v>
      </c>
      <c r="M24" s="983">
        <f>SUM(M4:M23)</f>
        <v>13</v>
      </c>
      <c r="N24" s="982" t="s">
        <v>95</v>
      </c>
      <c r="O24" s="982" t="s">
        <v>95</v>
      </c>
      <c r="P24" s="982" t="s">
        <v>95</v>
      </c>
      <c r="Q24" s="982" t="s">
        <v>95</v>
      </c>
      <c r="R24" s="981">
        <f>SUM(R4:R23)</f>
        <v>29</v>
      </c>
    </row>
    <row r="25" spans="1:18" ht="7.5" customHeight="1">
      <c r="A25" s="378"/>
      <c r="B25" s="3380"/>
      <c r="C25" s="3380"/>
      <c r="D25" s="3380"/>
      <c r="E25" s="3380"/>
      <c r="F25" s="3380"/>
      <c r="G25" s="3380"/>
      <c r="H25" s="3380"/>
      <c r="I25" s="3380"/>
      <c r="J25" s="3380"/>
      <c r="K25" s="3380"/>
      <c r="L25" s="3380"/>
      <c r="M25" s="3380"/>
      <c r="N25" s="3380"/>
      <c r="O25" s="3380"/>
      <c r="P25" s="3380"/>
      <c r="Q25" s="3380"/>
      <c r="R25" s="3380"/>
    </row>
    <row r="26" spans="1:18" ht="18" customHeight="1">
      <c r="B26" s="3144" t="s">
        <v>1058</v>
      </c>
      <c r="C26" s="3144"/>
      <c r="D26" s="3144"/>
      <c r="E26" s="3144"/>
      <c r="F26" s="3144"/>
      <c r="G26" s="3144"/>
      <c r="H26" s="3144"/>
      <c r="I26" s="3144"/>
      <c r="J26" s="3144"/>
      <c r="K26" s="3144"/>
      <c r="L26" s="3144"/>
      <c r="M26" s="3144"/>
      <c r="N26" s="3144"/>
    </row>
    <row r="27" spans="1:18">
      <c r="A27" s="671" t="s">
        <v>1057</v>
      </c>
      <c r="B27" s="76" t="s">
        <v>1056</v>
      </c>
    </row>
    <row r="28" spans="1:18">
      <c r="A28" s="670" t="s">
        <v>1055</v>
      </c>
      <c r="B28" s="3021" t="s">
        <v>1054</v>
      </c>
      <c r="C28" s="3021"/>
      <c r="D28" s="3021"/>
      <c r="E28" s="3021"/>
      <c r="F28" s="3021"/>
      <c r="G28" s="3021"/>
      <c r="H28" s="3021"/>
      <c r="I28" s="3021"/>
      <c r="J28" s="3021"/>
      <c r="K28" s="3021"/>
      <c r="L28" s="3021"/>
      <c r="M28" s="3021"/>
      <c r="N28" s="3021"/>
      <c r="O28" s="3021"/>
      <c r="P28" s="3021"/>
      <c r="Q28" s="3021"/>
      <c r="R28" s="3021"/>
    </row>
  </sheetData>
  <mergeCells count="33">
    <mergeCell ref="B28:R2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B25:R25"/>
    <mergeCell ref="B26:N26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:R1"/>
    <mergeCell ref="A2:B3"/>
    <mergeCell ref="C2:E2"/>
    <mergeCell ref="F2:G2"/>
    <mergeCell ref="H2:K2"/>
    <mergeCell ref="L2:M2"/>
    <mergeCell ref="N2:N3"/>
    <mergeCell ref="O2:Q2"/>
    <mergeCell ref="R2:R3"/>
  </mergeCells>
  <printOptions horizontalCentered="1" verticalCentered="1"/>
  <pageMargins left="0.59055118110236227" right="0.59055118110236227" top="0.59055118110236227" bottom="0.59055118110236227" header="0.35433070866141736" footer="0.27559055118110237"/>
  <pageSetup paperSize="9" scale="90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2:K30"/>
  <sheetViews>
    <sheetView showGridLines="0" rightToLeft="1" topLeftCell="A13" zoomScale="90" zoomScaleNormal="90" workbookViewId="0">
      <selection activeCell="H1" sqref="B1:H29"/>
    </sheetView>
  </sheetViews>
  <sheetFormatPr defaultRowHeight="18.75"/>
  <cols>
    <col min="1" max="1" width="3.875" style="1161" customWidth="1"/>
    <col min="2" max="2" width="21.375" style="1161" customWidth="1"/>
    <col min="3" max="8" width="17.875" style="1161" customWidth="1"/>
    <col min="9" max="9" width="9.125" style="1161"/>
    <col min="10" max="10" width="11" style="1161" customWidth="1"/>
    <col min="11" max="256" width="9.125" style="1161"/>
    <col min="257" max="257" width="3.875" style="1161" customWidth="1"/>
    <col min="258" max="258" width="21.375" style="1161" customWidth="1"/>
    <col min="259" max="264" width="17.875" style="1161" customWidth="1"/>
    <col min="265" max="265" width="9.125" style="1161"/>
    <col min="266" max="266" width="11" style="1161" customWidth="1"/>
    <col min="267" max="512" width="9.125" style="1161"/>
    <col min="513" max="513" width="3.875" style="1161" customWidth="1"/>
    <col min="514" max="514" width="21.375" style="1161" customWidth="1"/>
    <col min="515" max="520" width="17.875" style="1161" customWidth="1"/>
    <col min="521" max="521" width="9.125" style="1161"/>
    <col min="522" max="522" width="11" style="1161" customWidth="1"/>
    <col min="523" max="768" width="9.125" style="1161"/>
    <col min="769" max="769" width="3.875" style="1161" customWidth="1"/>
    <col min="770" max="770" width="21.375" style="1161" customWidth="1"/>
    <col min="771" max="776" width="17.875" style="1161" customWidth="1"/>
    <col min="777" max="777" width="9.125" style="1161"/>
    <col min="778" max="778" width="11" style="1161" customWidth="1"/>
    <col min="779" max="1024" width="9.125" style="1161"/>
    <col min="1025" max="1025" width="3.875" style="1161" customWidth="1"/>
    <col min="1026" max="1026" width="21.375" style="1161" customWidth="1"/>
    <col min="1027" max="1032" width="17.875" style="1161" customWidth="1"/>
    <col min="1033" max="1033" width="9.125" style="1161"/>
    <col min="1034" max="1034" width="11" style="1161" customWidth="1"/>
    <col min="1035" max="1280" width="9.125" style="1161"/>
    <col min="1281" max="1281" width="3.875" style="1161" customWidth="1"/>
    <col min="1282" max="1282" width="21.375" style="1161" customWidth="1"/>
    <col min="1283" max="1288" width="17.875" style="1161" customWidth="1"/>
    <col min="1289" max="1289" width="9.125" style="1161"/>
    <col min="1290" max="1290" width="11" style="1161" customWidth="1"/>
    <col min="1291" max="1536" width="9.125" style="1161"/>
    <col min="1537" max="1537" width="3.875" style="1161" customWidth="1"/>
    <col min="1538" max="1538" width="21.375" style="1161" customWidth="1"/>
    <col min="1539" max="1544" width="17.875" style="1161" customWidth="1"/>
    <col min="1545" max="1545" width="9.125" style="1161"/>
    <col min="1546" max="1546" width="11" style="1161" customWidth="1"/>
    <col min="1547" max="1792" width="9.125" style="1161"/>
    <col min="1793" max="1793" width="3.875" style="1161" customWidth="1"/>
    <col min="1794" max="1794" width="21.375" style="1161" customWidth="1"/>
    <col min="1795" max="1800" width="17.875" style="1161" customWidth="1"/>
    <col min="1801" max="1801" width="9.125" style="1161"/>
    <col min="1802" max="1802" width="11" style="1161" customWidth="1"/>
    <col min="1803" max="2048" width="9.125" style="1161"/>
    <col min="2049" max="2049" width="3.875" style="1161" customWidth="1"/>
    <col min="2050" max="2050" width="21.375" style="1161" customWidth="1"/>
    <col min="2051" max="2056" width="17.875" style="1161" customWidth="1"/>
    <col min="2057" max="2057" width="9.125" style="1161"/>
    <col min="2058" max="2058" width="11" style="1161" customWidth="1"/>
    <col min="2059" max="2304" width="9.125" style="1161"/>
    <col min="2305" max="2305" width="3.875" style="1161" customWidth="1"/>
    <col min="2306" max="2306" width="21.375" style="1161" customWidth="1"/>
    <col min="2307" max="2312" width="17.875" style="1161" customWidth="1"/>
    <col min="2313" max="2313" width="9.125" style="1161"/>
    <col min="2314" max="2314" width="11" style="1161" customWidth="1"/>
    <col min="2315" max="2560" width="9.125" style="1161"/>
    <col min="2561" max="2561" width="3.875" style="1161" customWidth="1"/>
    <col min="2562" max="2562" width="21.375" style="1161" customWidth="1"/>
    <col min="2563" max="2568" width="17.875" style="1161" customWidth="1"/>
    <col min="2569" max="2569" width="9.125" style="1161"/>
    <col min="2570" max="2570" width="11" style="1161" customWidth="1"/>
    <col min="2571" max="2816" width="9.125" style="1161"/>
    <col min="2817" max="2817" width="3.875" style="1161" customWidth="1"/>
    <col min="2818" max="2818" width="21.375" style="1161" customWidth="1"/>
    <col min="2819" max="2824" width="17.875" style="1161" customWidth="1"/>
    <col min="2825" max="2825" width="9.125" style="1161"/>
    <col min="2826" max="2826" width="11" style="1161" customWidth="1"/>
    <col min="2827" max="3072" width="9.125" style="1161"/>
    <col min="3073" max="3073" width="3.875" style="1161" customWidth="1"/>
    <col min="3074" max="3074" width="21.375" style="1161" customWidth="1"/>
    <col min="3075" max="3080" width="17.875" style="1161" customWidth="1"/>
    <col min="3081" max="3081" width="9.125" style="1161"/>
    <col min="3082" max="3082" width="11" style="1161" customWidth="1"/>
    <col min="3083" max="3328" width="9.125" style="1161"/>
    <col min="3329" max="3329" width="3.875" style="1161" customWidth="1"/>
    <col min="3330" max="3330" width="21.375" style="1161" customWidth="1"/>
    <col min="3331" max="3336" width="17.875" style="1161" customWidth="1"/>
    <col min="3337" max="3337" width="9.125" style="1161"/>
    <col min="3338" max="3338" width="11" style="1161" customWidth="1"/>
    <col min="3339" max="3584" width="9.125" style="1161"/>
    <col min="3585" max="3585" width="3.875" style="1161" customWidth="1"/>
    <col min="3586" max="3586" width="21.375" style="1161" customWidth="1"/>
    <col min="3587" max="3592" width="17.875" style="1161" customWidth="1"/>
    <col min="3593" max="3593" width="9.125" style="1161"/>
    <col min="3594" max="3594" width="11" style="1161" customWidth="1"/>
    <col min="3595" max="3840" width="9.125" style="1161"/>
    <col min="3841" max="3841" width="3.875" style="1161" customWidth="1"/>
    <col min="3842" max="3842" width="21.375" style="1161" customWidth="1"/>
    <col min="3843" max="3848" width="17.875" style="1161" customWidth="1"/>
    <col min="3849" max="3849" width="9.125" style="1161"/>
    <col min="3850" max="3850" width="11" style="1161" customWidth="1"/>
    <col min="3851" max="4096" width="9.125" style="1161"/>
    <col min="4097" max="4097" width="3.875" style="1161" customWidth="1"/>
    <col min="4098" max="4098" width="21.375" style="1161" customWidth="1"/>
    <col min="4099" max="4104" width="17.875" style="1161" customWidth="1"/>
    <col min="4105" max="4105" width="9.125" style="1161"/>
    <col min="4106" max="4106" width="11" style="1161" customWidth="1"/>
    <col min="4107" max="4352" width="9.125" style="1161"/>
    <col min="4353" max="4353" width="3.875" style="1161" customWidth="1"/>
    <col min="4354" max="4354" width="21.375" style="1161" customWidth="1"/>
    <col min="4355" max="4360" width="17.875" style="1161" customWidth="1"/>
    <col min="4361" max="4361" width="9.125" style="1161"/>
    <col min="4362" max="4362" width="11" style="1161" customWidth="1"/>
    <col min="4363" max="4608" width="9.125" style="1161"/>
    <col min="4609" max="4609" width="3.875" style="1161" customWidth="1"/>
    <col min="4610" max="4610" width="21.375" style="1161" customWidth="1"/>
    <col min="4611" max="4616" width="17.875" style="1161" customWidth="1"/>
    <col min="4617" max="4617" width="9.125" style="1161"/>
    <col min="4618" max="4618" width="11" style="1161" customWidth="1"/>
    <col min="4619" max="4864" width="9.125" style="1161"/>
    <col min="4865" max="4865" width="3.875" style="1161" customWidth="1"/>
    <col min="4866" max="4866" width="21.375" style="1161" customWidth="1"/>
    <col min="4867" max="4872" width="17.875" style="1161" customWidth="1"/>
    <col min="4873" max="4873" width="9.125" style="1161"/>
    <col min="4874" max="4874" width="11" style="1161" customWidth="1"/>
    <col min="4875" max="5120" width="9.125" style="1161"/>
    <col min="5121" max="5121" width="3.875" style="1161" customWidth="1"/>
    <col min="5122" max="5122" width="21.375" style="1161" customWidth="1"/>
    <col min="5123" max="5128" width="17.875" style="1161" customWidth="1"/>
    <col min="5129" max="5129" width="9.125" style="1161"/>
    <col min="5130" max="5130" width="11" style="1161" customWidth="1"/>
    <col min="5131" max="5376" width="9.125" style="1161"/>
    <col min="5377" max="5377" width="3.875" style="1161" customWidth="1"/>
    <col min="5378" max="5378" width="21.375" style="1161" customWidth="1"/>
    <col min="5379" max="5384" width="17.875" style="1161" customWidth="1"/>
    <col min="5385" max="5385" width="9.125" style="1161"/>
    <col min="5386" max="5386" width="11" style="1161" customWidth="1"/>
    <col min="5387" max="5632" width="9.125" style="1161"/>
    <col min="5633" max="5633" width="3.875" style="1161" customWidth="1"/>
    <col min="5634" max="5634" width="21.375" style="1161" customWidth="1"/>
    <col min="5635" max="5640" width="17.875" style="1161" customWidth="1"/>
    <col min="5641" max="5641" width="9.125" style="1161"/>
    <col min="5642" max="5642" width="11" style="1161" customWidth="1"/>
    <col min="5643" max="5888" width="9.125" style="1161"/>
    <col min="5889" max="5889" width="3.875" style="1161" customWidth="1"/>
    <col min="5890" max="5890" width="21.375" style="1161" customWidth="1"/>
    <col min="5891" max="5896" width="17.875" style="1161" customWidth="1"/>
    <col min="5897" max="5897" width="9.125" style="1161"/>
    <col min="5898" max="5898" width="11" style="1161" customWidth="1"/>
    <col min="5899" max="6144" width="9.125" style="1161"/>
    <col min="6145" max="6145" width="3.875" style="1161" customWidth="1"/>
    <col min="6146" max="6146" width="21.375" style="1161" customWidth="1"/>
    <col min="6147" max="6152" width="17.875" style="1161" customWidth="1"/>
    <col min="6153" max="6153" width="9.125" style="1161"/>
    <col min="6154" max="6154" width="11" style="1161" customWidth="1"/>
    <col min="6155" max="6400" width="9.125" style="1161"/>
    <col min="6401" max="6401" width="3.875" style="1161" customWidth="1"/>
    <col min="6402" max="6402" width="21.375" style="1161" customWidth="1"/>
    <col min="6403" max="6408" width="17.875" style="1161" customWidth="1"/>
    <col min="6409" max="6409" width="9.125" style="1161"/>
    <col min="6410" max="6410" width="11" style="1161" customWidth="1"/>
    <col min="6411" max="6656" width="9.125" style="1161"/>
    <col min="6657" max="6657" width="3.875" style="1161" customWidth="1"/>
    <col min="6658" max="6658" width="21.375" style="1161" customWidth="1"/>
    <col min="6659" max="6664" width="17.875" style="1161" customWidth="1"/>
    <col min="6665" max="6665" width="9.125" style="1161"/>
    <col min="6666" max="6666" width="11" style="1161" customWidth="1"/>
    <col min="6667" max="6912" width="9.125" style="1161"/>
    <col min="6913" max="6913" width="3.875" style="1161" customWidth="1"/>
    <col min="6914" max="6914" width="21.375" style="1161" customWidth="1"/>
    <col min="6915" max="6920" width="17.875" style="1161" customWidth="1"/>
    <col min="6921" max="6921" width="9.125" style="1161"/>
    <col min="6922" max="6922" width="11" style="1161" customWidth="1"/>
    <col min="6923" max="7168" width="9.125" style="1161"/>
    <col min="7169" max="7169" width="3.875" style="1161" customWidth="1"/>
    <col min="7170" max="7170" width="21.375" style="1161" customWidth="1"/>
    <col min="7171" max="7176" width="17.875" style="1161" customWidth="1"/>
    <col min="7177" max="7177" width="9.125" style="1161"/>
    <col min="7178" max="7178" width="11" style="1161" customWidth="1"/>
    <col min="7179" max="7424" width="9.125" style="1161"/>
    <col min="7425" max="7425" width="3.875" style="1161" customWidth="1"/>
    <col min="7426" max="7426" width="21.375" style="1161" customWidth="1"/>
    <col min="7427" max="7432" width="17.875" style="1161" customWidth="1"/>
    <col min="7433" max="7433" width="9.125" style="1161"/>
    <col min="7434" max="7434" width="11" style="1161" customWidth="1"/>
    <col min="7435" max="7680" width="9.125" style="1161"/>
    <col min="7681" max="7681" width="3.875" style="1161" customWidth="1"/>
    <col min="7682" max="7682" width="21.375" style="1161" customWidth="1"/>
    <col min="7683" max="7688" width="17.875" style="1161" customWidth="1"/>
    <col min="7689" max="7689" width="9.125" style="1161"/>
    <col min="7690" max="7690" width="11" style="1161" customWidth="1"/>
    <col min="7691" max="7936" width="9.125" style="1161"/>
    <col min="7937" max="7937" width="3.875" style="1161" customWidth="1"/>
    <col min="7938" max="7938" width="21.375" style="1161" customWidth="1"/>
    <col min="7939" max="7944" width="17.875" style="1161" customWidth="1"/>
    <col min="7945" max="7945" width="9.125" style="1161"/>
    <col min="7946" max="7946" width="11" style="1161" customWidth="1"/>
    <col min="7947" max="8192" width="9.125" style="1161"/>
    <col min="8193" max="8193" width="3.875" style="1161" customWidth="1"/>
    <col min="8194" max="8194" width="21.375" style="1161" customWidth="1"/>
    <col min="8195" max="8200" width="17.875" style="1161" customWidth="1"/>
    <col min="8201" max="8201" width="9.125" style="1161"/>
    <col min="8202" max="8202" width="11" style="1161" customWidth="1"/>
    <col min="8203" max="8448" width="9.125" style="1161"/>
    <col min="8449" max="8449" width="3.875" style="1161" customWidth="1"/>
    <col min="8450" max="8450" width="21.375" style="1161" customWidth="1"/>
    <col min="8451" max="8456" width="17.875" style="1161" customWidth="1"/>
    <col min="8457" max="8457" width="9.125" style="1161"/>
    <col min="8458" max="8458" width="11" style="1161" customWidth="1"/>
    <col min="8459" max="8704" width="9.125" style="1161"/>
    <col min="8705" max="8705" width="3.875" style="1161" customWidth="1"/>
    <col min="8706" max="8706" width="21.375" style="1161" customWidth="1"/>
    <col min="8707" max="8712" width="17.875" style="1161" customWidth="1"/>
    <col min="8713" max="8713" width="9.125" style="1161"/>
    <col min="8714" max="8714" width="11" style="1161" customWidth="1"/>
    <col min="8715" max="8960" width="9.125" style="1161"/>
    <col min="8961" max="8961" width="3.875" style="1161" customWidth="1"/>
    <col min="8962" max="8962" width="21.375" style="1161" customWidth="1"/>
    <col min="8963" max="8968" width="17.875" style="1161" customWidth="1"/>
    <col min="8969" max="8969" width="9.125" style="1161"/>
    <col min="8970" max="8970" width="11" style="1161" customWidth="1"/>
    <col min="8971" max="9216" width="9.125" style="1161"/>
    <col min="9217" max="9217" width="3.875" style="1161" customWidth="1"/>
    <col min="9218" max="9218" width="21.375" style="1161" customWidth="1"/>
    <col min="9219" max="9224" width="17.875" style="1161" customWidth="1"/>
    <col min="9225" max="9225" width="9.125" style="1161"/>
    <col min="9226" max="9226" width="11" style="1161" customWidth="1"/>
    <col min="9227" max="9472" width="9.125" style="1161"/>
    <col min="9473" max="9473" width="3.875" style="1161" customWidth="1"/>
    <col min="9474" max="9474" width="21.375" style="1161" customWidth="1"/>
    <col min="9475" max="9480" width="17.875" style="1161" customWidth="1"/>
    <col min="9481" max="9481" width="9.125" style="1161"/>
    <col min="9482" max="9482" width="11" style="1161" customWidth="1"/>
    <col min="9483" max="9728" width="9.125" style="1161"/>
    <col min="9729" max="9729" width="3.875" style="1161" customWidth="1"/>
    <col min="9730" max="9730" width="21.375" style="1161" customWidth="1"/>
    <col min="9731" max="9736" width="17.875" style="1161" customWidth="1"/>
    <col min="9737" max="9737" width="9.125" style="1161"/>
    <col min="9738" max="9738" width="11" style="1161" customWidth="1"/>
    <col min="9739" max="9984" width="9.125" style="1161"/>
    <col min="9985" max="9985" width="3.875" style="1161" customWidth="1"/>
    <col min="9986" max="9986" width="21.375" style="1161" customWidth="1"/>
    <col min="9987" max="9992" width="17.875" style="1161" customWidth="1"/>
    <col min="9993" max="9993" width="9.125" style="1161"/>
    <col min="9994" max="9994" width="11" style="1161" customWidth="1"/>
    <col min="9995" max="10240" width="9.125" style="1161"/>
    <col min="10241" max="10241" width="3.875" style="1161" customWidth="1"/>
    <col min="10242" max="10242" width="21.375" style="1161" customWidth="1"/>
    <col min="10243" max="10248" width="17.875" style="1161" customWidth="1"/>
    <col min="10249" max="10249" width="9.125" style="1161"/>
    <col min="10250" max="10250" width="11" style="1161" customWidth="1"/>
    <col min="10251" max="10496" width="9.125" style="1161"/>
    <col min="10497" max="10497" width="3.875" style="1161" customWidth="1"/>
    <col min="10498" max="10498" width="21.375" style="1161" customWidth="1"/>
    <col min="10499" max="10504" width="17.875" style="1161" customWidth="1"/>
    <col min="10505" max="10505" width="9.125" style="1161"/>
    <col min="10506" max="10506" width="11" style="1161" customWidth="1"/>
    <col min="10507" max="10752" width="9.125" style="1161"/>
    <col min="10753" max="10753" width="3.875" style="1161" customWidth="1"/>
    <col min="10754" max="10754" width="21.375" style="1161" customWidth="1"/>
    <col min="10755" max="10760" width="17.875" style="1161" customWidth="1"/>
    <col min="10761" max="10761" width="9.125" style="1161"/>
    <col min="10762" max="10762" width="11" style="1161" customWidth="1"/>
    <col min="10763" max="11008" width="9.125" style="1161"/>
    <col min="11009" max="11009" width="3.875" style="1161" customWidth="1"/>
    <col min="11010" max="11010" width="21.375" style="1161" customWidth="1"/>
    <col min="11011" max="11016" width="17.875" style="1161" customWidth="1"/>
    <col min="11017" max="11017" width="9.125" style="1161"/>
    <col min="11018" max="11018" width="11" style="1161" customWidth="1"/>
    <col min="11019" max="11264" width="9.125" style="1161"/>
    <col min="11265" max="11265" width="3.875" style="1161" customWidth="1"/>
    <col min="11266" max="11266" width="21.375" style="1161" customWidth="1"/>
    <col min="11267" max="11272" width="17.875" style="1161" customWidth="1"/>
    <col min="11273" max="11273" width="9.125" style="1161"/>
    <col min="11274" max="11274" width="11" style="1161" customWidth="1"/>
    <col min="11275" max="11520" width="9.125" style="1161"/>
    <col min="11521" max="11521" width="3.875" style="1161" customWidth="1"/>
    <col min="11522" max="11522" width="21.375" style="1161" customWidth="1"/>
    <col min="11523" max="11528" width="17.875" style="1161" customWidth="1"/>
    <col min="11529" max="11529" width="9.125" style="1161"/>
    <col min="11530" max="11530" width="11" style="1161" customWidth="1"/>
    <col min="11531" max="11776" width="9.125" style="1161"/>
    <col min="11777" max="11777" width="3.875" style="1161" customWidth="1"/>
    <col min="11778" max="11778" width="21.375" style="1161" customWidth="1"/>
    <col min="11779" max="11784" width="17.875" style="1161" customWidth="1"/>
    <col min="11785" max="11785" width="9.125" style="1161"/>
    <col min="11786" max="11786" width="11" style="1161" customWidth="1"/>
    <col min="11787" max="12032" width="9.125" style="1161"/>
    <col min="12033" max="12033" width="3.875" style="1161" customWidth="1"/>
    <col min="12034" max="12034" width="21.375" style="1161" customWidth="1"/>
    <col min="12035" max="12040" width="17.875" style="1161" customWidth="1"/>
    <col min="12041" max="12041" width="9.125" style="1161"/>
    <col min="12042" max="12042" width="11" style="1161" customWidth="1"/>
    <col min="12043" max="12288" width="9.125" style="1161"/>
    <col min="12289" max="12289" width="3.875" style="1161" customWidth="1"/>
    <col min="12290" max="12290" width="21.375" style="1161" customWidth="1"/>
    <col min="12291" max="12296" width="17.875" style="1161" customWidth="1"/>
    <col min="12297" max="12297" width="9.125" style="1161"/>
    <col min="12298" max="12298" width="11" style="1161" customWidth="1"/>
    <col min="12299" max="12544" width="9.125" style="1161"/>
    <col min="12545" max="12545" width="3.875" style="1161" customWidth="1"/>
    <col min="12546" max="12546" width="21.375" style="1161" customWidth="1"/>
    <col min="12547" max="12552" width="17.875" style="1161" customWidth="1"/>
    <col min="12553" max="12553" width="9.125" style="1161"/>
    <col min="12554" max="12554" width="11" style="1161" customWidth="1"/>
    <col min="12555" max="12800" width="9.125" style="1161"/>
    <col min="12801" max="12801" width="3.875" style="1161" customWidth="1"/>
    <col min="12802" max="12802" width="21.375" style="1161" customWidth="1"/>
    <col min="12803" max="12808" width="17.875" style="1161" customWidth="1"/>
    <col min="12809" max="12809" width="9.125" style="1161"/>
    <col min="12810" max="12810" width="11" style="1161" customWidth="1"/>
    <col min="12811" max="13056" width="9.125" style="1161"/>
    <col min="13057" max="13057" width="3.875" style="1161" customWidth="1"/>
    <col min="13058" max="13058" width="21.375" style="1161" customWidth="1"/>
    <col min="13059" max="13064" width="17.875" style="1161" customWidth="1"/>
    <col min="13065" max="13065" width="9.125" style="1161"/>
    <col min="13066" max="13066" width="11" style="1161" customWidth="1"/>
    <col min="13067" max="13312" width="9.125" style="1161"/>
    <col min="13313" max="13313" width="3.875" style="1161" customWidth="1"/>
    <col min="13314" max="13314" width="21.375" style="1161" customWidth="1"/>
    <col min="13315" max="13320" width="17.875" style="1161" customWidth="1"/>
    <col min="13321" max="13321" width="9.125" style="1161"/>
    <col min="13322" max="13322" width="11" style="1161" customWidth="1"/>
    <col min="13323" max="13568" width="9.125" style="1161"/>
    <col min="13569" max="13569" width="3.875" style="1161" customWidth="1"/>
    <col min="13570" max="13570" width="21.375" style="1161" customWidth="1"/>
    <col min="13571" max="13576" width="17.875" style="1161" customWidth="1"/>
    <col min="13577" max="13577" width="9.125" style="1161"/>
    <col min="13578" max="13578" width="11" style="1161" customWidth="1"/>
    <col min="13579" max="13824" width="9.125" style="1161"/>
    <col min="13825" max="13825" width="3.875" style="1161" customWidth="1"/>
    <col min="13826" max="13826" width="21.375" style="1161" customWidth="1"/>
    <col min="13827" max="13832" width="17.875" style="1161" customWidth="1"/>
    <col min="13833" max="13833" width="9.125" style="1161"/>
    <col min="13834" max="13834" width="11" style="1161" customWidth="1"/>
    <col min="13835" max="14080" width="9.125" style="1161"/>
    <col min="14081" max="14081" width="3.875" style="1161" customWidth="1"/>
    <col min="14082" max="14082" width="21.375" style="1161" customWidth="1"/>
    <col min="14083" max="14088" width="17.875" style="1161" customWidth="1"/>
    <col min="14089" max="14089" width="9.125" style="1161"/>
    <col min="14090" max="14090" width="11" style="1161" customWidth="1"/>
    <col min="14091" max="14336" width="9.125" style="1161"/>
    <col min="14337" max="14337" width="3.875" style="1161" customWidth="1"/>
    <col min="14338" max="14338" width="21.375" style="1161" customWidth="1"/>
    <col min="14339" max="14344" width="17.875" style="1161" customWidth="1"/>
    <col min="14345" max="14345" width="9.125" style="1161"/>
    <col min="14346" max="14346" width="11" style="1161" customWidth="1"/>
    <col min="14347" max="14592" width="9.125" style="1161"/>
    <col min="14593" max="14593" width="3.875" style="1161" customWidth="1"/>
    <col min="14594" max="14594" width="21.375" style="1161" customWidth="1"/>
    <col min="14595" max="14600" width="17.875" style="1161" customWidth="1"/>
    <col min="14601" max="14601" width="9.125" style="1161"/>
    <col min="14602" max="14602" width="11" style="1161" customWidth="1"/>
    <col min="14603" max="14848" width="9.125" style="1161"/>
    <col min="14849" max="14849" width="3.875" style="1161" customWidth="1"/>
    <col min="14850" max="14850" width="21.375" style="1161" customWidth="1"/>
    <col min="14851" max="14856" width="17.875" style="1161" customWidth="1"/>
    <col min="14857" max="14857" width="9.125" style="1161"/>
    <col min="14858" max="14858" width="11" style="1161" customWidth="1"/>
    <col min="14859" max="15104" width="9.125" style="1161"/>
    <col min="15105" max="15105" width="3.875" style="1161" customWidth="1"/>
    <col min="15106" max="15106" width="21.375" style="1161" customWidth="1"/>
    <col min="15107" max="15112" width="17.875" style="1161" customWidth="1"/>
    <col min="15113" max="15113" width="9.125" style="1161"/>
    <col min="15114" max="15114" width="11" style="1161" customWidth="1"/>
    <col min="15115" max="15360" width="9.125" style="1161"/>
    <col min="15361" max="15361" width="3.875" style="1161" customWidth="1"/>
    <col min="15362" max="15362" width="21.375" style="1161" customWidth="1"/>
    <col min="15363" max="15368" width="17.875" style="1161" customWidth="1"/>
    <col min="15369" max="15369" width="9.125" style="1161"/>
    <col min="15370" max="15370" width="11" style="1161" customWidth="1"/>
    <col min="15371" max="15616" width="9.125" style="1161"/>
    <col min="15617" max="15617" width="3.875" style="1161" customWidth="1"/>
    <col min="15618" max="15618" width="21.375" style="1161" customWidth="1"/>
    <col min="15619" max="15624" width="17.875" style="1161" customWidth="1"/>
    <col min="15625" max="15625" width="9.125" style="1161"/>
    <col min="15626" max="15626" width="11" style="1161" customWidth="1"/>
    <col min="15627" max="15872" width="9.125" style="1161"/>
    <col min="15873" max="15873" width="3.875" style="1161" customWidth="1"/>
    <col min="15874" max="15874" width="21.375" style="1161" customWidth="1"/>
    <col min="15875" max="15880" width="17.875" style="1161" customWidth="1"/>
    <col min="15881" max="15881" width="9.125" style="1161"/>
    <col min="15882" max="15882" width="11" style="1161" customWidth="1"/>
    <col min="15883" max="16128" width="9.125" style="1161"/>
    <col min="16129" max="16129" width="3.875" style="1161" customWidth="1"/>
    <col min="16130" max="16130" width="21.375" style="1161" customWidth="1"/>
    <col min="16131" max="16136" width="17.875" style="1161" customWidth="1"/>
    <col min="16137" max="16137" width="9.125" style="1161"/>
    <col min="16138" max="16138" width="11" style="1161" customWidth="1"/>
    <col min="16139" max="16384" width="9.125" style="1161"/>
  </cols>
  <sheetData>
    <row r="2" spans="2:8" ht="52.5" customHeight="1" thickBot="1">
      <c r="B2" s="1160"/>
      <c r="C2" s="1160"/>
      <c r="D2" s="1160"/>
      <c r="E2" s="1160"/>
      <c r="F2" s="1160"/>
      <c r="G2" s="1160"/>
      <c r="H2" s="1160"/>
    </row>
    <row r="3" spans="2:8" ht="26.25" customHeight="1">
      <c r="B3" s="3382" t="s">
        <v>1285</v>
      </c>
      <c r="C3" s="3384" t="s">
        <v>1286</v>
      </c>
      <c r="D3" s="3384"/>
      <c r="E3" s="3384"/>
      <c r="F3" s="3384"/>
      <c r="G3" s="3384" t="s">
        <v>1287</v>
      </c>
      <c r="H3" s="3386" t="s">
        <v>1288</v>
      </c>
    </row>
    <row r="4" spans="2:8" ht="26.25" customHeight="1" thickBot="1">
      <c r="B4" s="3383"/>
      <c r="C4" s="1162" t="s">
        <v>1289</v>
      </c>
      <c r="D4" s="1162" t="s">
        <v>1290</v>
      </c>
      <c r="E4" s="1162" t="s">
        <v>1291</v>
      </c>
      <c r="F4" s="1162" t="s">
        <v>1292</v>
      </c>
      <c r="G4" s="3385"/>
      <c r="H4" s="3387"/>
    </row>
    <row r="5" spans="2:8" ht="30" customHeight="1">
      <c r="B5" s="1163" t="s">
        <v>78</v>
      </c>
      <c r="C5" s="1164">
        <v>36</v>
      </c>
      <c r="D5" s="1164">
        <v>0</v>
      </c>
      <c r="E5" s="1164">
        <v>0</v>
      </c>
      <c r="F5" s="1164">
        <f>SUM(C5:E5)</f>
        <v>36</v>
      </c>
      <c r="G5" s="1164">
        <v>9</v>
      </c>
      <c r="H5" s="1165">
        <f>G5+F5</f>
        <v>45</v>
      </c>
    </row>
    <row r="6" spans="2:8" ht="30" customHeight="1">
      <c r="B6" s="1166" t="s">
        <v>70</v>
      </c>
      <c r="C6" s="1167">
        <v>0</v>
      </c>
      <c r="D6" s="1167">
        <v>4</v>
      </c>
      <c r="E6" s="1167">
        <v>5</v>
      </c>
      <c r="F6" s="1164">
        <f>SUM(C6:E6)</f>
        <v>9</v>
      </c>
      <c r="G6" s="1167">
        <v>5</v>
      </c>
      <c r="H6" s="1165">
        <f t="shared" ref="H6:H26" si="0">G6+F6</f>
        <v>14</v>
      </c>
    </row>
    <row r="7" spans="2:8" ht="30" customHeight="1">
      <c r="B7" s="1166" t="s">
        <v>79</v>
      </c>
      <c r="C7" s="1167">
        <v>0</v>
      </c>
      <c r="D7" s="1167">
        <v>29</v>
      </c>
      <c r="E7" s="1167">
        <v>3</v>
      </c>
      <c r="F7" s="1164">
        <f t="shared" ref="F7:F26" si="1">SUM(C7:E7)</f>
        <v>32</v>
      </c>
      <c r="G7" s="1167">
        <v>1</v>
      </c>
      <c r="H7" s="1165">
        <f t="shared" si="0"/>
        <v>33</v>
      </c>
    </row>
    <row r="8" spans="2:8" ht="30" customHeight="1">
      <c r="B8" s="1166" t="s">
        <v>71</v>
      </c>
      <c r="C8" s="1167">
        <v>3</v>
      </c>
      <c r="D8" s="1167">
        <v>0</v>
      </c>
      <c r="E8" s="1167">
        <v>17</v>
      </c>
      <c r="F8" s="1164">
        <f t="shared" si="1"/>
        <v>20</v>
      </c>
      <c r="G8" s="1167">
        <v>2</v>
      </c>
      <c r="H8" s="1165">
        <f t="shared" si="0"/>
        <v>22</v>
      </c>
    </row>
    <row r="9" spans="2:8" ht="30" customHeight="1">
      <c r="B9" s="1166" t="s">
        <v>68</v>
      </c>
      <c r="C9" s="1167">
        <v>0</v>
      </c>
      <c r="D9" s="1167">
        <v>6</v>
      </c>
      <c r="E9" s="1167">
        <v>5</v>
      </c>
      <c r="F9" s="1164">
        <f t="shared" si="1"/>
        <v>11</v>
      </c>
      <c r="G9" s="1167">
        <v>6</v>
      </c>
      <c r="H9" s="1165">
        <f t="shared" si="0"/>
        <v>17</v>
      </c>
    </row>
    <row r="10" spans="2:8" ht="30" customHeight="1">
      <c r="B10" s="1166" t="s">
        <v>82</v>
      </c>
      <c r="C10" s="1167">
        <v>0</v>
      </c>
      <c r="D10" s="1167">
        <v>0</v>
      </c>
      <c r="E10" s="1167">
        <v>0</v>
      </c>
      <c r="F10" s="1164">
        <f t="shared" si="1"/>
        <v>0</v>
      </c>
      <c r="G10" s="1167">
        <v>8</v>
      </c>
      <c r="H10" s="1165">
        <f t="shared" si="0"/>
        <v>8</v>
      </c>
    </row>
    <row r="11" spans="2:8" ht="30" customHeight="1">
      <c r="B11" s="1166" t="s">
        <v>76</v>
      </c>
      <c r="C11" s="1167">
        <v>0</v>
      </c>
      <c r="D11" s="1167">
        <v>23</v>
      </c>
      <c r="E11" s="1167">
        <v>0</v>
      </c>
      <c r="F11" s="1164">
        <f t="shared" si="1"/>
        <v>23</v>
      </c>
      <c r="G11" s="1167">
        <v>0</v>
      </c>
      <c r="H11" s="1165">
        <f t="shared" si="0"/>
        <v>23</v>
      </c>
    </row>
    <row r="12" spans="2:8" ht="30" customHeight="1">
      <c r="B12" s="1166" t="s">
        <v>86</v>
      </c>
      <c r="C12" s="1167">
        <v>0</v>
      </c>
      <c r="D12" s="1167">
        <v>0</v>
      </c>
      <c r="E12" s="1167">
        <v>11</v>
      </c>
      <c r="F12" s="1164">
        <f t="shared" si="1"/>
        <v>11</v>
      </c>
      <c r="G12" s="1167">
        <v>1</v>
      </c>
      <c r="H12" s="1165">
        <f t="shared" si="0"/>
        <v>12</v>
      </c>
    </row>
    <row r="13" spans="2:8" ht="30" customHeight="1">
      <c r="B13" s="1166" t="s">
        <v>84</v>
      </c>
      <c r="C13" s="1167">
        <v>0</v>
      </c>
      <c r="D13" s="1167">
        <v>35</v>
      </c>
      <c r="E13" s="1167">
        <v>0</v>
      </c>
      <c r="F13" s="1164">
        <f t="shared" si="1"/>
        <v>35</v>
      </c>
      <c r="G13" s="1167">
        <v>0</v>
      </c>
      <c r="H13" s="1165">
        <f t="shared" si="0"/>
        <v>35</v>
      </c>
    </row>
    <row r="14" spans="2:8" ht="30" customHeight="1">
      <c r="B14" s="1166" t="s">
        <v>1293</v>
      </c>
      <c r="C14" s="1167">
        <v>0</v>
      </c>
      <c r="D14" s="1167">
        <v>0</v>
      </c>
      <c r="E14" s="1167">
        <v>0</v>
      </c>
      <c r="F14" s="1164">
        <f t="shared" si="1"/>
        <v>0</v>
      </c>
      <c r="G14" s="1167">
        <v>22</v>
      </c>
      <c r="H14" s="1165">
        <f t="shared" si="0"/>
        <v>22</v>
      </c>
    </row>
    <row r="15" spans="2:8" ht="30" customHeight="1">
      <c r="B15" s="1166" t="s">
        <v>1294</v>
      </c>
      <c r="C15" s="1167">
        <v>0</v>
      </c>
      <c r="D15" s="1167">
        <v>27</v>
      </c>
      <c r="E15" s="1167">
        <v>0</v>
      </c>
      <c r="F15" s="1164">
        <f t="shared" si="1"/>
        <v>27</v>
      </c>
      <c r="G15" s="1167">
        <v>0</v>
      </c>
      <c r="H15" s="1165">
        <f t="shared" si="0"/>
        <v>27</v>
      </c>
    </row>
    <row r="16" spans="2:8" ht="30" customHeight="1">
      <c r="B16" s="1166" t="s">
        <v>1295</v>
      </c>
      <c r="C16" s="1167">
        <v>0</v>
      </c>
      <c r="D16" s="1167">
        <v>0</v>
      </c>
      <c r="E16" s="1167">
        <v>0</v>
      </c>
      <c r="F16" s="1164">
        <f t="shared" si="1"/>
        <v>0</v>
      </c>
      <c r="G16" s="1167">
        <v>8</v>
      </c>
      <c r="H16" s="1165">
        <f t="shared" si="0"/>
        <v>8</v>
      </c>
    </row>
    <row r="17" spans="2:11" ht="30" customHeight="1">
      <c r="B17" s="1166" t="s">
        <v>77</v>
      </c>
      <c r="C17" s="1167">
        <v>15</v>
      </c>
      <c r="D17" s="1167">
        <v>0</v>
      </c>
      <c r="E17" s="1167">
        <v>1</v>
      </c>
      <c r="F17" s="1164">
        <f t="shared" si="1"/>
        <v>16</v>
      </c>
      <c r="G17" s="1167">
        <v>0</v>
      </c>
      <c r="H17" s="1165">
        <f t="shared" si="0"/>
        <v>16</v>
      </c>
    </row>
    <row r="18" spans="2:11" ht="30" customHeight="1">
      <c r="B18" s="1166" t="s">
        <v>85</v>
      </c>
      <c r="C18" s="1167">
        <v>0</v>
      </c>
      <c r="D18" s="1167">
        <v>0</v>
      </c>
      <c r="E18" s="1167">
        <v>0</v>
      </c>
      <c r="F18" s="1164">
        <f t="shared" si="1"/>
        <v>0</v>
      </c>
      <c r="G18" s="1167">
        <v>14</v>
      </c>
      <c r="H18" s="1165">
        <f t="shared" si="0"/>
        <v>14</v>
      </c>
    </row>
    <row r="19" spans="2:11" ht="30" customHeight="1">
      <c r="B19" s="1166" t="s">
        <v>87</v>
      </c>
      <c r="C19" s="1167">
        <v>0</v>
      </c>
      <c r="D19" s="1167">
        <v>8</v>
      </c>
      <c r="E19" s="1167">
        <v>8</v>
      </c>
      <c r="F19" s="1164">
        <f t="shared" si="1"/>
        <v>16</v>
      </c>
      <c r="G19" s="1167">
        <v>2</v>
      </c>
      <c r="H19" s="1165">
        <f t="shared" si="0"/>
        <v>18</v>
      </c>
    </row>
    <row r="20" spans="2:11" ht="30" customHeight="1">
      <c r="B20" s="1166" t="s">
        <v>81</v>
      </c>
      <c r="C20" s="1167">
        <v>0</v>
      </c>
      <c r="D20" s="1167">
        <v>4</v>
      </c>
      <c r="E20" s="1167">
        <v>0</v>
      </c>
      <c r="F20" s="1164">
        <f t="shared" si="1"/>
        <v>4</v>
      </c>
      <c r="G20" s="1167">
        <v>12</v>
      </c>
      <c r="H20" s="1165">
        <f t="shared" si="0"/>
        <v>16</v>
      </c>
    </row>
    <row r="21" spans="2:11" ht="30" customHeight="1">
      <c r="B21" s="1166" t="s">
        <v>69</v>
      </c>
      <c r="C21" s="1167">
        <v>0</v>
      </c>
      <c r="D21" s="1167">
        <v>4</v>
      </c>
      <c r="E21" s="1167">
        <v>7</v>
      </c>
      <c r="F21" s="1164">
        <f t="shared" si="1"/>
        <v>11</v>
      </c>
      <c r="G21" s="1167">
        <v>0</v>
      </c>
      <c r="H21" s="1165">
        <f t="shared" si="0"/>
        <v>11</v>
      </c>
    </row>
    <row r="22" spans="2:11" ht="30" customHeight="1">
      <c r="B22" s="1166" t="s">
        <v>83</v>
      </c>
      <c r="C22" s="1167">
        <v>0</v>
      </c>
      <c r="D22" s="1167">
        <v>22</v>
      </c>
      <c r="E22" s="1167">
        <v>0</v>
      </c>
      <c r="F22" s="1164">
        <f t="shared" si="1"/>
        <v>22</v>
      </c>
      <c r="G22" s="1167">
        <v>2</v>
      </c>
      <c r="H22" s="1165">
        <f t="shared" si="0"/>
        <v>24</v>
      </c>
    </row>
    <row r="23" spans="2:11" ht="30" customHeight="1">
      <c r="B23" s="1166" t="s">
        <v>402</v>
      </c>
      <c r="C23" s="1167">
        <v>0</v>
      </c>
      <c r="D23" s="1167">
        <v>38</v>
      </c>
      <c r="E23" s="1167">
        <v>1</v>
      </c>
      <c r="F23" s="1164">
        <f t="shared" si="1"/>
        <v>39</v>
      </c>
      <c r="G23" s="1167">
        <v>2</v>
      </c>
      <c r="H23" s="1165">
        <f t="shared" si="0"/>
        <v>41</v>
      </c>
    </row>
    <row r="24" spans="2:11" ht="30" customHeight="1">
      <c r="B24" s="1168" t="s">
        <v>482</v>
      </c>
      <c r="C24" s="1167">
        <v>1</v>
      </c>
      <c r="D24" s="1169">
        <v>0</v>
      </c>
      <c r="E24" s="1169">
        <v>4</v>
      </c>
      <c r="F24" s="1164">
        <f t="shared" si="1"/>
        <v>5</v>
      </c>
      <c r="G24" s="1167">
        <v>5</v>
      </c>
      <c r="H24" s="1165">
        <f t="shared" si="0"/>
        <v>10</v>
      </c>
    </row>
    <row r="25" spans="2:11" ht="30" customHeight="1" thickBot="1">
      <c r="B25" s="1168" t="s">
        <v>88</v>
      </c>
      <c r="C25" s="1169">
        <v>0</v>
      </c>
      <c r="D25" s="1169">
        <v>0</v>
      </c>
      <c r="E25" s="1169">
        <v>0</v>
      </c>
      <c r="F25" s="1170">
        <f t="shared" si="1"/>
        <v>0</v>
      </c>
      <c r="G25" s="1169">
        <v>10</v>
      </c>
      <c r="H25" s="1171">
        <f t="shared" si="0"/>
        <v>10</v>
      </c>
    </row>
    <row r="26" spans="2:11" ht="30" customHeight="1" thickTop="1" thickBot="1">
      <c r="B26" s="1172" t="s">
        <v>1296</v>
      </c>
      <c r="C26" s="1173">
        <f>SUM(C5:C25)</f>
        <v>55</v>
      </c>
      <c r="D26" s="1173">
        <f>SUM(D5:D25)</f>
        <v>200</v>
      </c>
      <c r="E26" s="1173">
        <f>SUM(E5:E25)</f>
        <v>62</v>
      </c>
      <c r="F26" s="1173">
        <f t="shared" si="1"/>
        <v>317</v>
      </c>
      <c r="G26" s="1173">
        <f>SUM(G5:G25)</f>
        <v>109</v>
      </c>
      <c r="H26" s="1174">
        <f t="shared" si="0"/>
        <v>426</v>
      </c>
    </row>
    <row r="27" spans="2:11" ht="36" customHeight="1" thickTop="1">
      <c r="B27" s="3388" t="s">
        <v>1297</v>
      </c>
      <c r="C27" s="3388"/>
      <c r="D27" s="3388"/>
      <c r="E27" s="3388"/>
      <c r="F27" s="3388"/>
      <c r="G27" s="3388"/>
      <c r="H27" s="3388"/>
      <c r="I27" s="1175"/>
      <c r="J27" s="1175"/>
      <c r="K27" s="1175"/>
    </row>
    <row r="28" spans="2:11" ht="19.5" customHeight="1">
      <c r="B28" s="3381" t="s">
        <v>1298</v>
      </c>
      <c r="C28" s="3381"/>
      <c r="D28" s="3381"/>
      <c r="E28" s="3381"/>
      <c r="F28" s="3381"/>
      <c r="G28" s="3381"/>
      <c r="H28" s="3381"/>
      <c r="I28" s="1175"/>
      <c r="J28" s="1175"/>
      <c r="K28" s="1175"/>
    </row>
    <row r="29" spans="2:11" ht="30" customHeight="1">
      <c r="B29" s="1176" t="s">
        <v>1299</v>
      </c>
      <c r="C29" s="1176"/>
      <c r="D29" s="1177"/>
      <c r="E29" s="1177"/>
      <c r="F29" s="1177"/>
      <c r="G29" s="1177"/>
      <c r="H29" s="1177"/>
    </row>
    <row r="30" spans="2:11" ht="40.5" customHeight="1">
      <c r="B30" s="1178"/>
      <c r="C30" s="1178"/>
      <c r="D30" s="1178"/>
      <c r="E30" s="1178"/>
      <c r="F30" s="1178"/>
      <c r="G30" s="1177"/>
      <c r="H30" s="1177"/>
    </row>
  </sheetData>
  <mergeCells count="6">
    <mergeCell ref="B28:H28"/>
    <mergeCell ref="B3:B4"/>
    <mergeCell ref="C3:F3"/>
    <mergeCell ref="G3:G4"/>
    <mergeCell ref="H3:H4"/>
    <mergeCell ref="B27:H27"/>
  </mergeCells>
  <pageMargins left="0.75" right="0.75" top="1" bottom="1" header="0.5" footer="0.5"/>
  <pageSetup paperSize="9" scale="56" orientation="portrait" r:id="rId1"/>
  <headerFooter alignWithMargins="0"/>
  <colBreaks count="1" manualBreakCount="1">
    <brk id="8" max="27" man="1"/>
  </col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indexed="52"/>
    <pageSetUpPr fitToPage="1"/>
  </sheetPr>
  <dimension ref="B1:N27"/>
  <sheetViews>
    <sheetView showGridLines="0" rightToLeft="1" zoomScale="66" zoomScaleNormal="66" workbookViewId="0">
      <selection activeCell="B27" sqref="B1:E27"/>
    </sheetView>
  </sheetViews>
  <sheetFormatPr defaultColWidth="9.25" defaultRowHeight="15.75"/>
  <cols>
    <col min="1" max="1" width="2.875" style="1180" customWidth="1"/>
    <col min="2" max="5" width="21.375" style="1180" customWidth="1"/>
    <col min="6" max="256" width="9.25" style="1180"/>
    <col min="257" max="257" width="2.875" style="1180" customWidth="1"/>
    <col min="258" max="261" width="21.375" style="1180" customWidth="1"/>
    <col min="262" max="512" width="9.25" style="1180"/>
    <col min="513" max="513" width="2.875" style="1180" customWidth="1"/>
    <col min="514" max="517" width="21.375" style="1180" customWidth="1"/>
    <col min="518" max="768" width="9.25" style="1180"/>
    <col min="769" max="769" width="2.875" style="1180" customWidth="1"/>
    <col min="770" max="773" width="21.375" style="1180" customWidth="1"/>
    <col min="774" max="1024" width="9.25" style="1180"/>
    <col min="1025" max="1025" width="2.875" style="1180" customWidth="1"/>
    <col min="1026" max="1029" width="21.375" style="1180" customWidth="1"/>
    <col min="1030" max="1280" width="9.25" style="1180"/>
    <col min="1281" max="1281" width="2.875" style="1180" customWidth="1"/>
    <col min="1282" max="1285" width="21.375" style="1180" customWidth="1"/>
    <col min="1286" max="1536" width="9.25" style="1180"/>
    <col min="1537" max="1537" width="2.875" style="1180" customWidth="1"/>
    <col min="1538" max="1541" width="21.375" style="1180" customWidth="1"/>
    <col min="1542" max="1792" width="9.25" style="1180"/>
    <col min="1793" max="1793" width="2.875" style="1180" customWidth="1"/>
    <col min="1794" max="1797" width="21.375" style="1180" customWidth="1"/>
    <col min="1798" max="2048" width="9.25" style="1180"/>
    <col min="2049" max="2049" width="2.875" style="1180" customWidth="1"/>
    <col min="2050" max="2053" width="21.375" style="1180" customWidth="1"/>
    <col min="2054" max="2304" width="9.25" style="1180"/>
    <col min="2305" max="2305" width="2.875" style="1180" customWidth="1"/>
    <col min="2306" max="2309" width="21.375" style="1180" customWidth="1"/>
    <col min="2310" max="2560" width="9.25" style="1180"/>
    <col min="2561" max="2561" width="2.875" style="1180" customWidth="1"/>
    <col min="2562" max="2565" width="21.375" style="1180" customWidth="1"/>
    <col min="2566" max="2816" width="9.25" style="1180"/>
    <col min="2817" max="2817" width="2.875" style="1180" customWidth="1"/>
    <col min="2818" max="2821" width="21.375" style="1180" customWidth="1"/>
    <col min="2822" max="3072" width="9.25" style="1180"/>
    <col min="3073" max="3073" width="2.875" style="1180" customWidth="1"/>
    <col min="3074" max="3077" width="21.375" style="1180" customWidth="1"/>
    <col min="3078" max="3328" width="9.25" style="1180"/>
    <col min="3329" max="3329" width="2.875" style="1180" customWidth="1"/>
    <col min="3330" max="3333" width="21.375" style="1180" customWidth="1"/>
    <col min="3334" max="3584" width="9.25" style="1180"/>
    <col min="3585" max="3585" width="2.875" style="1180" customWidth="1"/>
    <col min="3586" max="3589" width="21.375" style="1180" customWidth="1"/>
    <col min="3590" max="3840" width="9.25" style="1180"/>
    <col min="3841" max="3841" width="2.875" style="1180" customWidth="1"/>
    <col min="3842" max="3845" width="21.375" style="1180" customWidth="1"/>
    <col min="3846" max="4096" width="9.25" style="1180"/>
    <col min="4097" max="4097" width="2.875" style="1180" customWidth="1"/>
    <col min="4098" max="4101" width="21.375" style="1180" customWidth="1"/>
    <col min="4102" max="4352" width="9.25" style="1180"/>
    <col min="4353" max="4353" width="2.875" style="1180" customWidth="1"/>
    <col min="4354" max="4357" width="21.375" style="1180" customWidth="1"/>
    <col min="4358" max="4608" width="9.25" style="1180"/>
    <col min="4609" max="4609" width="2.875" style="1180" customWidth="1"/>
    <col min="4610" max="4613" width="21.375" style="1180" customWidth="1"/>
    <col min="4614" max="4864" width="9.25" style="1180"/>
    <col min="4865" max="4865" width="2.875" style="1180" customWidth="1"/>
    <col min="4866" max="4869" width="21.375" style="1180" customWidth="1"/>
    <col min="4870" max="5120" width="9.25" style="1180"/>
    <col min="5121" max="5121" width="2.875" style="1180" customWidth="1"/>
    <col min="5122" max="5125" width="21.375" style="1180" customWidth="1"/>
    <col min="5126" max="5376" width="9.25" style="1180"/>
    <col min="5377" max="5377" width="2.875" style="1180" customWidth="1"/>
    <col min="5378" max="5381" width="21.375" style="1180" customWidth="1"/>
    <col min="5382" max="5632" width="9.25" style="1180"/>
    <col min="5633" max="5633" width="2.875" style="1180" customWidth="1"/>
    <col min="5634" max="5637" width="21.375" style="1180" customWidth="1"/>
    <col min="5638" max="5888" width="9.25" style="1180"/>
    <col min="5889" max="5889" width="2.875" style="1180" customWidth="1"/>
    <col min="5890" max="5893" width="21.375" style="1180" customWidth="1"/>
    <col min="5894" max="6144" width="9.25" style="1180"/>
    <col min="6145" max="6145" width="2.875" style="1180" customWidth="1"/>
    <col min="6146" max="6149" width="21.375" style="1180" customWidth="1"/>
    <col min="6150" max="6400" width="9.25" style="1180"/>
    <col min="6401" max="6401" width="2.875" style="1180" customWidth="1"/>
    <col min="6402" max="6405" width="21.375" style="1180" customWidth="1"/>
    <col min="6406" max="6656" width="9.25" style="1180"/>
    <col min="6657" max="6657" width="2.875" style="1180" customWidth="1"/>
    <col min="6658" max="6661" width="21.375" style="1180" customWidth="1"/>
    <col min="6662" max="6912" width="9.25" style="1180"/>
    <col min="6913" max="6913" width="2.875" style="1180" customWidth="1"/>
    <col min="6914" max="6917" width="21.375" style="1180" customWidth="1"/>
    <col min="6918" max="7168" width="9.25" style="1180"/>
    <col min="7169" max="7169" width="2.875" style="1180" customWidth="1"/>
    <col min="7170" max="7173" width="21.375" style="1180" customWidth="1"/>
    <col min="7174" max="7424" width="9.25" style="1180"/>
    <col min="7425" max="7425" width="2.875" style="1180" customWidth="1"/>
    <col min="7426" max="7429" width="21.375" style="1180" customWidth="1"/>
    <col min="7430" max="7680" width="9.25" style="1180"/>
    <col min="7681" max="7681" width="2.875" style="1180" customWidth="1"/>
    <col min="7682" max="7685" width="21.375" style="1180" customWidth="1"/>
    <col min="7686" max="7936" width="9.25" style="1180"/>
    <col min="7937" max="7937" width="2.875" style="1180" customWidth="1"/>
    <col min="7938" max="7941" width="21.375" style="1180" customWidth="1"/>
    <col min="7942" max="8192" width="9.25" style="1180"/>
    <col min="8193" max="8193" width="2.875" style="1180" customWidth="1"/>
    <col min="8194" max="8197" width="21.375" style="1180" customWidth="1"/>
    <col min="8198" max="8448" width="9.25" style="1180"/>
    <col min="8449" max="8449" width="2.875" style="1180" customWidth="1"/>
    <col min="8450" max="8453" width="21.375" style="1180" customWidth="1"/>
    <col min="8454" max="8704" width="9.25" style="1180"/>
    <col min="8705" max="8705" width="2.875" style="1180" customWidth="1"/>
    <col min="8706" max="8709" width="21.375" style="1180" customWidth="1"/>
    <col min="8710" max="8960" width="9.25" style="1180"/>
    <col min="8961" max="8961" width="2.875" style="1180" customWidth="1"/>
    <col min="8962" max="8965" width="21.375" style="1180" customWidth="1"/>
    <col min="8966" max="9216" width="9.25" style="1180"/>
    <col min="9217" max="9217" width="2.875" style="1180" customWidth="1"/>
    <col min="9218" max="9221" width="21.375" style="1180" customWidth="1"/>
    <col min="9222" max="9472" width="9.25" style="1180"/>
    <col min="9473" max="9473" width="2.875" style="1180" customWidth="1"/>
    <col min="9474" max="9477" width="21.375" style="1180" customWidth="1"/>
    <col min="9478" max="9728" width="9.25" style="1180"/>
    <col min="9729" max="9729" width="2.875" style="1180" customWidth="1"/>
    <col min="9730" max="9733" width="21.375" style="1180" customWidth="1"/>
    <col min="9734" max="9984" width="9.25" style="1180"/>
    <col min="9985" max="9985" width="2.875" style="1180" customWidth="1"/>
    <col min="9986" max="9989" width="21.375" style="1180" customWidth="1"/>
    <col min="9990" max="10240" width="9.25" style="1180"/>
    <col min="10241" max="10241" width="2.875" style="1180" customWidth="1"/>
    <col min="10242" max="10245" width="21.375" style="1180" customWidth="1"/>
    <col min="10246" max="10496" width="9.25" style="1180"/>
    <col min="10497" max="10497" width="2.875" style="1180" customWidth="1"/>
    <col min="10498" max="10501" width="21.375" style="1180" customWidth="1"/>
    <col min="10502" max="10752" width="9.25" style="1180"/>
    <col min="10753" max="10753" width="2.875" style="1180" customWidth="1"/>
    <col min="10754" max="10757" width="21.375" style="1180" customWidth="1"/>
    <col min="10758" max="11008" width="9.25" style="1180"/>
    <col min="11009" max="11009" width="2.875" style="1180" customWidth="1"/>
    <col min="11010" max="11013" width="21.375" style="1180" customWidth="1"/>
    <col min="11014" max="11264" width="9.25" style="1180"/>
    <col min="11265" max="11265" width="2.875" style="1180" customWidth="1"/>
    <col min="11266" max="11269" width="21.375" style="1180" customWidth="1"/>
    <col min="11270" max="11520" width="9.25" style="1180"/>
    <col min="11521" max="11521" width="2.875" style="1180" customWidth="1"/>
    <col min="11522" max="11525" width="21.375" style="1180" customWidth="1"/>
    <col min="11526" max="11776" width="9.25" style="1180"/>
    <col min="11777" max="11777" width="2.875" style="1180" customWidth="1"/>
    <col min="11778" max="11781" width="21.375" style="1180" customWidth="1"/>
    <col min="11782" max="12032" width="9.25" style="1180"/>
    <col min="12033" max="12033" width="2.875" style="1180" customWidth="1"/>
    <col min="12034" max="12037" width="21.375" style="1180" customWidth="1"/>
    <col min="12038" max="12288" width="9.25" style="1180"/>
    <col min="12289" max="12289" width="2.875" style="1180" customWidth="1"/>
    <col min="12290" max="12293" width="21.375" style="1180" customWidth="1"/>
    <col min="12294" max="12544" width="9.25" style="1180"/>
    <col min="12545" max="12545" width="2.875" style="1180" customWidth="1"/>
    <col min="12546" max="12549" width="21.375" style="1180" customWidth="1"/>
    <col min="12550" max="12800" width="9.25" style="1180"/>
    <col min="12801" max="12801" width="2.875" style="1180" customWidth="1"/>
    <col min="12802" max="12805" width="21.375" style="1180" customWidth="1"/>
    <col min="12806" max="13056" width="9.25" style="1180"/>
    <col min="13057" max="13057" width="2.875" style="1180" customWidth="1"/>
    <col min="13058" max="13061" width="21.375" style="1180" customWidth="1"/>
    <col min="13062" max="13312" width="9.25" style="1180"/>
    <col min="13313" max="13313" width="2.875" style="1180" customWidth="1"/>
    <col min="13314" max="13317" width="21.375" style="1180" customWidth="1"/>
    <col min="13318" max="13568" width="9.25" style="1180"/>
    <col min="13569" max="13569" width="2.875" style="1180" customWidth="1"/>
    <col min="13570" max="13573" width="21.375" style="1180" customWidth="1"/>
    <col min="13574" max="13824" width="9.25" style="1180"/>
    <col min="13825" max="13825" width="2.875" style="1180" customWidth="1"/>
    <col min="13826" max="13829" width="21.375" style="1180" customWidth="1"/>
    <col min="13830" max="14080" width="9.25" style="1180"/>
    <col min="14081" max="14081" width="2.875" style="1180" customWidth="1"/>
    <col min="14082" max="14085" width="21.375" style="1180" customWidth="1"/>
    <col min="14086" max="14336" width="9.25" style="1180"/>
    <col min="14337" max="14337" width="2.875" style="1180" customWidth="1"/>
    <col min="14338" max="14341" width="21.375" style="1180" customWidth="1"/>
    <col min="14342" max="14592" width="9.25" style="1180"/>
    <col min="14593" max="14593" width="2.875" style="1180" customWidth="1"/>
    <col min="14594" max="14597" width="21.375" style="1180" customWidth="1"/>
    <col min="14598" max="14848" width="9.25" style="1180"/>
    <col min="14849" max="14849" width="2.875" style="1180" customWidth="1"/>
    <col min="14850" max="14853" width="21.375" style="1180" customWidth="1"/>
    <col min="14854" max="15104" width="9.25" style="1180"/>
    <col min="15105" max="15105" width="2.875" style="1180" customWidth="1"/>
    <col min="15106" max="15109" width="21.375" style="1180" customWidth="1"/>
    <col min="15110" max="15360" width="9.25" style="1180"/>
    <col min="15361" max="15361" width="2.875" style="1180" customWidth="1"/>
    <col min="15362" max="15365" width="21.375" style="1180" customWidth="1"/>
    <col min="15366" max="15616" width="9.25" style="1180"/>
    <col min="15617" max="15617" width="2.875" style="1180" customWidth="1"/>
    <col min="15618" max="15621" width="21.375" style="1180" customWidth="1"/>
    <col min="15622" max="15872" width="9.25" style="1180"/>
    <col min="15873" max="15873" width="2.875" style="1180" customWidth="1"/>
    <col min="15874" max="15877" width="21.375" style="1180" customWidth="1"/>
    <col min="15878" max="16128" width="9.25" style="1180"/>
    <col min="16129" max="16129" width="2.875" style="1180" customWidth="1"/>
    <col min="16130" max="16133" width="21.375" style="1180" customWidth="1"/>
    <col min="16134" max="16384" width="9.25" style="1180"/>
  </cols>
  <sheetData>
    <row r="1" spans="2:5">
      <c r="B1" s="1179"/>
      <c r="C1" s="1179"/>
      <c r="D1" s="1179"/>
      <c r="E1" s="1179"/>
    </row>
    <row r="2" spans="2:5" ht="67.5" customHeight="1">
      <c r="B2" s="1181"/>
      <c r="C2" s="1181"/>
      <c r="D2" s="1181"/>
      <c r="E2" s="1181"/>
    </row>
    <row r="3" spans="2:5" ht="6.75" customHeight="1" thickBot="1">
      <c r="B3" s="1182"/>
      <c r="C3" s="1182"/>
      <c r="D3" s="1182"/>
      <c r="E3" s="1182"/>
    </row>
    <row r="4" spans="2:5" ht="52.5" customHeight="1" thickTop="1" thickBot="1">
      <c r="B4" s="1183" t="s">
        <v>1300</v>
      </c>
      <c r="C4" s="1184" t="s">
        <v>1301</v>
      </c>
      <c r="D4" s="1184" t="s">
        <v>1302</v>
      </c>
      <c r="E4" s="1185" t="s">
        <v>1296</v>
      </c>
    </row>
    <row r="5" spans="2:5" ht="30" customHeight="1">
      <c r="B5" s="1186" t="s">
        <v>78</v>
      </c>
      <c r="C5" s="1187">
        <v>190</v>
      </c>
      <c r="D5" s="1188">
        <v>1045</v>
      </c>
      <c r="E5" s="1189">
        <f>SUM(C5:D5)</f>
        <v>1235</v>
      </c>
    </row>
    <row r="6" spans="2:5" ht="30" customHeight="1">
      <c r="B6" s="1190" t="s">
        <v>70</v>
      </c>
      <c r="C6" s="1191">
        <v>0</v>
      </c>
      <c r="D6" s="1192">
        <v>696</v>
      </c>
      <c r="E6" s="1189">
        <f t="shared" ref="E6:E24" si="0">SUM(C6:D6)</f>
        <v>696</v>
      </c>
    </row>
    <row r="7" spans="2:5" ht="30" customHeight="1">
      <c r="B7" s="1190" t="s">
        <v>79</v>
      </c>
      <c r="C7" s="1191">
        <v>0</v>
      </c>
      <c r="D7" s="1192">
        <v>680</v>
      </c>
      <c r="E7" s="1189">
        <f t="shared" si="0"/>
        <v>680</v>
      </c>
    </row>
    <row r="8" spans="2:5" ht="30" customHeight="1">
      <c r="B8" s="1190" t="s">
        <v>71</v>
      </c>
      <c r="C8" s="1191">
        <v>0</v>
      </c>
      <c r="D8" s="1192">
        <v>355</v>
      </c>
      <c r="E8" s="1189">
        <f t="shared" si="0"/>
        <v>355</v>
      </c>
    </row>
    <row r="9" spans="2:5" ht="30" customHeight="1">
      <c r="B9" s="1190" t="s">
        <v>68</v>
      </c>
      <c r="C9" s="1191">
        <v>0</v>
      </c>
      <c r="D9" s="1192">
        <v>400</v>
      </c>
      <c r="E9" s="1189">
        <f t="shared" si="0"/>
        <v>400</v>
      </c>
    </row>
    <row r="10" spans="2:5" ht="30" customHeight="1">
      <c r="B10" s="1190" t="s">
        <v>82</v>
      </c>
      <c r="C10" s="1191">
        <v>10</v>
      </c>
      <c r="D10" s="1192">
        <v>301</v>
      </c>
      <c r="E10" s="1189">
        <f t="shared" si="0"/>
        <v>311</v>
      </c>
    </row>
    <row r="11" spans="2:5" ht="30" customHeight="1">
      <c r="B11" s="1190" t="s">
        <v>76</v>
      </c>
      <c r="C11" s="1191">
        <v>0</v>
      </c>
      <c r="D11" s="1192">
        <v>991</v>
      </c>
      <c r="E11" s="1189">
        <f t="shared" si="0"/>
        <v>991</v>
      </c>
    </row>
    <row r="12" spans="2:5" ht="30" customHeight="1">
      <c r="B12" s="1190" t="s">
        <v>86</v>
      </c>
      <c r="C12" s="1191">
        <v>119</v>
      </c>
      <c r="D12" s="1192">
        <v>210</v>
      </c>
      <c r="E12" s="1189">
        <f t="shared" si="0"/>
        <v>329</v>
      </c>
    </row>
    <row r="13" spans="2:5" ht="30" customHeight="1">
      <c r="B13" s="1190" t="s">
        <v>84</v>
      </c>
      <c r="C13" s="1191">
        <v>0</v>
      </c>
      <c r="D13" s="1192">
        <v>1040</v>
      </c>
      <c r="E13" s="1189">
        <f t="shared" si="0"/>
        <v>1040</v>
      </c>
    </row>
    <row r="14" spans="2:5" ht="30" customHeight="1">
      <c r="B14" s="1190" t="s">
        <v>72</v>
      </c>
      <c r="C14" s="1191">
        <v>315</v>
      </c>
      <c r="D14" s="1192">
        <v>335</v>
      </c>
      <c r="E14" s="1189">
        <f t="shared" si="0"/>
        <v>650</v>
      </c>
    </row>
    <row r="15" spans="2:5" ht="30" customHeight="1">
      <c r="B15" s="1190" t="s">
        <v>1294</v>
      </c>
      <c r="C15" s="1191">
        <v>0</v>
      </c>
      <c r="D15" s="1192">
        <v>1300</v>
      </c>
      <c r="E15" s="1189">
        <f t="shared" si="0"/>
        <v>1300</v>
      </c>
    </row>
    <row r="16" spans="2:5" ht="30" customHeight="1">
      <c r="B16" s="1190" t="s">
        <v>1295</v>
      </c>
      <c r="C16" s="1191">
        <v>68</v>
      </c>
      <c r="D16" s="1192">
        <v>144</v>
      </c>
      <c r="E16" s="1189">
        <f t="shared" si="0"/>
        <v>212</v>
      </c>
    </row>
    <row r="17" spans="2:14" ht="30" customHeight="1">
      <c r="B17" s="1193" t="s">
        <v>482</v>
      </c>
      <c r="C17" s="1191">
        <v>0</v>
      </c>
      <c r="D17" s="1192">
        <v>185</v>
      </c>
      <c r="E17" s="1189">
        <f t="shared" si="0"/>
        <v>185</v>
      </c>
    </row>
    <row r="18" spans="2:14" ht="30" customHeight="1">
      <c r="B18" s="1190" t="s">
        <v>1101</v>
      </c>
      <c r="C18" s="1191">
        <v>0</v>
      </c>
      <c r="D18" s="1192">
        <v>645</v>
      </c>
      <c r="E18" s="1189">
        <f t="shared" si="0"/>
        <v>645</v>
      </c>
    </row>
    <row r="19" spans="2:14" ht="30" customHeight="1">
      <c r="B19" s="1190" t="s">
        <v>1100</v>
      </c>
      <c r="C19" s="1191">
        <v>0</v>
      </c>
      <c r="D19" s="1192">
        <v>476</v>
      </c>
      <c r="E19" s="1189">
        <f t="shared" si="0"/>
        <v>476</v>
      </c>
    </row>
    <row r="20" spans="2:14" ht="30" customHeight="1">
      <c r="B20" s="1190" t="s">
        <v>87</v>
      </c>
      <c r="C20" s="1191">
        <v>0</v>
      </c>
      <c r="D20" s="1192">
        <v>400</v>
      </c>
      <c r="E20" s="1189">
        <f t="shared" si="0"/>
        <v>400</v>
      </c>
    </row>
    <row r="21" spans="2:14" ht="30" customHeight="1">
      <c r="B21" s="1190" t="s">
        <v>81</v>
      </c>
      <c r="C21" s="1191">
        <v>0</v>
      </c>
      <c r="D21" s="1192">
        <v>551</v>
      </c>
      <c r="E21" s="1189">
        <f t="shared" si="0"/>
        <v>551</v>
      </c>
    </row>
    <row r="22" spans="2:14" ht="30" customHeight="1">
      <c r="B22" s="1190" t="s">
        <v>69</v>
      </c>
      <c r="C22" s="1191">
        <v>88</v>
      </c>
      <c r="D22" s="1192">
        <v>162</v>
      </c>
      <c r="E22" s="1189">
        <f t="shared" si="0"/>
        <v>250</v>
      </c>
    </row>
    <row r="23" spans="2:14" ht="30" customHeight="1">
      <c r="B23" s="1190" t="s">
        <v>83</v>
      </c>
      <c r="C23" s="1191">
        <v>0</v>
      </c>
      <c r="D23" s="1192">
        <v>700</v>
      </c>
      <c r="E23" s="1189">
        <f t="shared" si="0"/>
        <v>700</v>
      </c>
    </row>
    <row r="24" spans="2:14" ht="30" customHeight="1" thickBot="1">
      <c r="B24" s="1190" t="s">
        <v>402</v>
      </c>
      <c r="C24" s="1191">
        <v>0</v>
      </c>
      <c r="D24" s="1192">
        <v>870</v>
      </c>
      <c r="E24" s="1189">
        <f t="shared" si="0"/>
        <v>870</v>
      </c>
    </row>
    <row r="25" spans="2:14" ht="30" customHeight="1" thickBot="1">
      <c r="B25" s="1194" t="s">
        <v>49</v>
      </c>
      <c r="C25" s="1195">
        <f>SUM(C5:C24)</f>
        <v>790</v>
      </c>
      <c r="D25" s="1195">
        <f>SUM(D5:D24)</f>
        <v>11486</v>
      </c>
      <c r="E25" s="1195">
        <f>SUM(E5:E24)</f>
        <v>12276</v>
      </c>
    </row>
    <row r="26" spans="2:14" ht="40.9" customHeight="1">
      <c r="B26" s="3389" t="s">
        <v>1303</v>
      </c>
      <c r="C26" s="3389"/>
      <c r="D26" s="3389"/>
      <c r="E26" s="3389"/>
    </row>
    <row r="27" spans="2:14" ht="30" customHeight="1">
      <c r="B27" s="3390" t="s">
        <v>1304</v>
      </c>
      <c r="C27" s="3390"/>
      <c r="D27" s="3390"/>
      <c r="E27" s="3390"/>
      <c r="F27" s="1196"/>
      <c r="G27" s="1196"/>
      <c r="H27" s="1196"/>
      <c r="I27" s="1197"/>
      <c r="J27" s="1197"/>
      <c r="K27" s="1197"/>
      <c r="L27" s="1197"/>
      <c r="M27" s="1197"/>
      <c r="N27" s="1197"/>
    </row>
  </sheetData>
  <mergeCells count="2">
    <mergeCell ref="B26:E26"/>
    <mergeCell ref="B27:E2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6" firstPageNumber="83" orientation="portrait" useFirstPageNumber="1" r:id="rId1"/>
  <headerFooter alignWithMargins="0">
    <oddFooter>&amp;C&amp;"B Roya,Bold"&amp;12&amp;P</oddFooter>
  </headerFooter>
  <colBreaks count="1" manualBreakCount="1">
    <brk id="5" max="1048575" man="1"/>
  </col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</sheetPr>
  <dimension ref="A1:AE179"/>
  <sheetViews>
    <sheetView showGridLines="0" rightToLeft="1" view="pageBreakPreview" zoomScale="124" zoomScaleNormal="100" zoomScaleSheetLayoutView="124" workbookViewId="0">
      <pane ySplit="3" topLeftCell="A146" activePane="bottomLeft" state="frozen"/>
      <selection activeCell="F2" sqref="F2"/>
      <selection pane="bottomLeft" activeCell="B147" sqref="B147:U169"/>
    </sheetView>
  </sheetViews>
  <sheetFormatPr defaultColWidth="7" defaultRowHeight="15.75"/>
  <cols>
    <col min="1" max="1" width="3.375" style="1204" customWidth="1"/>
    <col min="2" max="2" width="28" style="1204" customWidth="1"/>
    <col min="3" max="3" width="3" style="1204" bestFit="1" customWidth="1"/>
    <col min="4" max="4" width="3.625" style="1204" bestFit="1" customWidth="1"/>
    <col min="5" max="5" width="4.125" style="1204" bestFit="1" customWidth="1"/>
    <col min="6" max="6" width="3" style="1204" bestFit="1" customWidth="1"/>
    <col min="7" max="8" width="3.625" style="1204" bestFit="1" customWidth="1"/>
    <col min="9" max="9" width="4.875" style="1204" customWidth="1"/>
    <col min="10" max="10" width="3.25" style="1204" bestFit="1" customWidth="1"/>
    <col min="11" max="11" width="4.625" style="1204" bestFit="1" customWidth="1"/>
    <col min="12" max="12" width="5.25" style="1204" bestFit="1" customWidth="1"/>
    <col min="13" max="13" width="3" style="1204" bestFit="1" customWidth="1"/>
    <col min="14" max="14" width="4.125" style="1204" bestFit="1" customWidth="1"/>
    <col min="15" max="15" width="4.625" style="1208" bestFit="1" customWidth="1"/>
    <col min="16" max="16" width="4.625" style="1204" bestFit="1" customWidth="1"/>
    <col min="17" max="17" width="4.625" style="1208" bestFit="1" customWidth="1"/>
    <col min="18" max="18" width="4.25" style="1204" customWidth="1"/>
    <col min="19" max="19" width="3.625" style="1204" customWidth="1"/>
    <col min="20" max="20" width="5.625" style="1204" customWidth="1"/>
    <col min="21" max="21" width="3.875" style="1204" bestFit="1" customWidth="1"/>
    <col min="22" max="24" width="7" style="1204" customWidth="1"/>
    <col min="25" max="25" width="10.125" style="1204" bestFit="1" customWidth="1"/>
    <col min="26" max="29" width="7" style="1204" customWidth="1"/>
    <col min="30" max="30" width="11.75" style="1205" bestFit="1" customWidth="1"/>
    <col min="31" max="16384" width="7" style="1204"/>
  </cols>
  <sheetData>
    <row r="1" spans="2:30" ht="19.5" customHeight="1" thickBot="1">
      <c r="B1" s="3391" t="s">
        <v>1306</v>
      </c>
      <c r="C1" s="3391"/>
      <c r="D1" s="3391"/>
      <c r="E1" s="3391"/>
      <c r="F1" s="3391"/>
      <c r="G1" s="3391"/>
      <c r="H1" s="3391"/>
      <c r="I1" s="3391"/>
      <c r="J1" s="3391"/>
      <c r="K1" s="3391"/>
      <c r="L1" s="3391"/>
      <c r="M1" s="3391"/>
      <c r="N1" s="3391"/>
      <c r="O1" s="3391"/>
      <c r="P1" s="3391"/>
      <c r="Q1" s="3391"/>
      <c r="R1" s="3391"/>
      <c r="S1" s="3391"/>
      <c r="T1" s="3391"/>
      <c r="U1" s="1203"/>
    </row>
    <row r="2" spans="2:30" ht="18" customHeight="1" thickBot="1">
      <c r="B2" s="3392" t="s">
        <v>1307</v>
      </c>
      <c r="C2" s="3394" t="s">
        <v>1308</v>
      </c>
      <c r="D2" s="3392" t="s">
        <v>1309</v>
      </c>
      <c r="E2" s="3396"/>
      <c r="F2" s="3396"/>
      <c r="G2" s="3396"/>
      <c r="H2" s="3396"/>
      <c r="I2" s="3396"/>
      <c r="J2" s="3396"/>
      <c r="K2" s="3397"/>
      <c r="L2" s="3398" t="s">
        <v>1310</v>
      </c>
      <c r="M2" s="3400" t="s">
        <v>1311</v>
      </c>
      <c r="N2" s="3400"/>
      <c r="O2" s="3400"/>
      <c r="P2" s="3400"/>
      <c r="Q2" s="3400"/>
      <c r="R2" s="3400"/>
      <c r="S2" s="3400"/>
      <c r="T2" s="3394" t="s">
        <v>49</v>
      </c>
      <c r="U2" s="3406"/>
    </row>
    <row r="3" spans="2:30" ht="65.25" thickBot="1">
      <c r="B3" s="3393"/>
      <c r="C3" s="3395"/>
      <c r="D3" s="2459" t="s">
        <v>1312</v>
      </c>
      <c r="E3" s="2460" t="s">
        <v>1313</v>
      </c>
      <c r="F3" s="2460" t="s">
        <v>1314</v>
      </c>
      <c r="G3" s="2460" t="s">
        <v>1315</v>
      </c>
      <c r="H3" s="2460" t="s">
        <v>1316</v>
      </c>
      <c r="I3" s="2461" t="s">
        <v>1317</v>
      </c>
      <c r="J3" s="2460" t="s">
        <v>1318</v>
      </c>
      <c r="K3" s="2462" t="s">
        <v>1319</v>
      </c>
      <c r="L3" s="3399"/>
      <c r="M3" s="2463" t="s">
        <v>1320</v>
      </c>
      <c r="N3" s="2463" t="s">
        <v>1321</v>
      </c>
      <c r="O3" s="2463" t="s">
        <v>1322</v>
      </c>
      <c r="P3" s="2463" t="s">
        <v>1323</v>
      </c>
      <c r="Q3" s="2463" t="s">
        <v>1324</v>
      </c>
      <c r="R3" s="2464" t="s">
        <v>1325</v>
      </c>
      <c r="S3" s="2465" t="s">
        <v>1326</v>
      </c>
      <c r="T3" s="3401"/>
      <c r="U3" s="3406"/>
    </row>
    <row r="4" spans="2:30" ht="12.75" customHeight="1">
      <c r="B4" s="3407" t="s">
        <v>1327</v>
      </c>
      <c r="C4" s="2466" t="s">
        <v>1328</v>
      </c>
      <c r="D4" s="2239">
        <v>0</v>
      </c>
      <c r="E4" s="2240">
        <v>4</v>
      </c>
      <c r="F4" s="2241">
        <v>2</v>
      </c>
      <c r="G4" s="2240">
        <v>1</v>
      </c>
      <c r="H4" s="2241">
        <v>0</v>
      </c>
      <c r="I4" s="2240">
        <v>9</v>
      </c>
      <c r="J4" s="2242">
        <v>0</v>
      </c>
      <c r="K4" s="2243">
        <v>16</v>
      </c>
      <c r="L4" s="2244" t="s">
        <v>1317</v>
      </c>
      <c r="M4" s="2180">
        <v>2</v>
      </c>
      <c r="N4" s="2180">
        <v>5</v>
      </c>
      <c r="O4" s="2180">
        <v>2</v>
      </c>
      <c r="P4" s="1237">
        <v>0</v>
      </c>
      <c r="Q4" s="1237">
        <v>0</v>
      </c>
      <c r="R4" s="1237">
        <v>0</v>
      </c>
      <c r="S4" s="1237">
        <v>0</v>
      </c>
      <c r="T4" s="2181">
        <f t="shared" ref="T4:T12" si="0">SUM(M4:S4)</f>
        <v>9</v>
      </c>
      <c r="U4" s="3404">
        <f>+K4+K5</f>
        <v>16</v>
      </c>
      <c r="V4" s="3405">
        <f>+K4+K5</f>
        <v>16</v>
      </c>
    </row>
    <row r="5" spans="2:30" ht="12.75" customHeight="1">
      <c r="B5" s="3403"/>
      <c r="C5" s="2467" t="s">
        <v>1329</v>
      </c>
      <c r="D5" s="2245">
        <v>0</v>
      </c>
      <c r="E5" s="2246">
        <v>0</v>
      </c>
      <c r="F5" s="2247">
        <v>0</v>
      </c>
      <c r="G5" s="2246">
        <v>0</v>
      </c>
      <c r="H5" s="2247">
        <v>0</v>
      </c>
      <c r="I5" s="2246">
        <v>0</v>
      </c>
      <c r="J5" s="2248">
        <v>0</v>
      </c>
      <c r="K5" s="2249"/>
      <c r="L5" s="2250" t="s">
        <v>1330</v>
      </c>
      <c r="M5" s="1221">
        <v>0</v>
      </c>
      <c r="N5" s="1221">
        <v>3</v>
      </c>
      <c r="O5" s="1221">
        <v>4</v>
      </c>
      <c r="P5" s="1241">
        <v>0</v>
      </c>
      <c r="Q5" s="1241">
        <v>0</v>
      </c>
      <c r="R5" s="1241">
        <v>0</v>
      </c>
      <c r="S5" s="1241">
        <v>0</v>
      </c>
      <c r="T5" s="1222">
        <f t="shared" si="0"/>
        <v>7</v>
      </c>
      <c r="U5" s="3404"/>
      <c r="V5" s="3405"/>
    </row>
    <row r="6" spans="2:30" s="1208" customFormat="1" ht="12.75" customHeight="1">
      <c r="B6" s="3408" t="s">
        <v>1331</v>
      </c>
      <c r="C6" s="2468" t="s">
        <v>1328</v>
      </c>
      <c r="D6" s="2251">
        <v>0</v>
      </c>
      <c r="E6" s="2252">
        <v>7</v>
      </c>
      <c r="F6" s="2253">
        <v>2</v>
      </c>
      <c r="G6" s="2254">
        <v>15</v>
      </c>
      <c r="H6" s="2254">
        <v>0</v>
      </c>
      <c r="I6" s="2254">
        <v>3</v>
      </c>
      <c r="J6" s="2255">
        <v>0</v>
      </c>
      <c r="K6" s="2256">
        <f t="shared" ref="K6:K27" si="1">SUM(D6:J6)</f>
        <v>27</v>
      </c>
      <c r="L6" s="2187" t="s">
        <v>1317</v>
      </c>
      <c r="M6" s="1211">
        <v>2</v>
      </c>
      <c r="N6" s="1211">
        <v>1</v>
      </c>
      <c r="O6" s="1211">
        <v>2</v>
      </c>
      <c r="P6" s="1211">
        <v>0</v>
      </c>
      <c r="Q6" s="1211">
        <v>0</v>
      </c>
      <c r="R6" s="1211">
        <v>0</v>
      </c>
      <c r="S6" s="1211">
        <v>0</v>
      </c>
      <c r="T6" s="2188">
        <f t="shared" si="0"/>
        <v>5</v>
      </c>
      <c r="U6" s="3409">
        <f>+K6+K7</f>
        <v>34</v>
      </c>
      <c r="V6" s="3405">
        <f t="shared" ref="V6" si="2">+K6+K7</f>
        <v>34</v>
      </c>
      <c r="AD6" s="1209"/>
    </row>
    <row r="7" spans="2:30" s="1208" customFormat="1" ht="12.75" customHeight="1">
      <c r="B7" s="3403"/>
      <c r="C7" s="2467" t="s">
        <v>1329</v>
      </c>
      <c r="D7" s="2250">
        <v>0</v>
      </c>
      <c r="E7" s="2227">
        <v>3</v>
      </c>
      <c r="F7" s="2257">
        <v>0</v>
      </c>
      <c r="G7" s="2257">
        <v>2</v>
      </c>
      <c r="H7" s="2257">
        <v>0</v>
      </c>
      <c r="I7" s="2257">
        <v>2</v>
      </c>
      <c r="J7" s="2258">
        <v>0</v>
      </c>
      <c r="K7" s="2259">
        <f t="shared" si="1"/>
        <v>7</v>
      </c>
      <c r="L7" s="1227" t="s">
        <v>1330</v>
      </c>
      <c r="M7" s="1213">
        <v>5</v>
      </c>
      <c r="N7" s="1213">
        <v>14</v>
      </c>
      <c r="O7" s="1213">
        <v>9</v>
      </c>
      <c r="P7" s="1213">
        <v>1</v>
      </c>
      <c r="Q7" s="1213">
        <v>0</v>
      </c>
      <c r="R7" s="1213">
        <v>0</v>
      </c>
      <c r="S7" s="1213">
        <v>0</v>
      </c>
      <c r="T7" s="2191">
        <f t="shared" si="0"/>
        <v>29</v>
      </c>
      <c r="U7" s="3409"/>
      <c r="V7" s="3405"/>
      <c r="AD7" s="1209"/>
    </row>
    <row r="8" spans="2:30" ht="12.75" customHeight="1">
      <c r="B8" s="3402" t="s">
        <v>1332</v>
      </c>
      <c r="C8" s="2469" t="s">
        <v>1328</v>
      </c>
      <c r="D8" s="2260">
        <v>1</v>
      </c>
      <c r="E8" s="2261">
        <v>7</v>
      </c>
      <c r="F8" s="2262">
        <v>0</v>
      </c>
      <c r="G8" s="2262">
        <v>0</v>
      </c>
      <c r="H8" s="2262">
        <v>1</v>
      </c>
      <c r="I8" s="2261">
        <v>9</v>
      </c>
      <c r="J8" s="2263">
        <v>0</v>
      </c>
      <c r="K8" s="2256">
        <f t="shared" si="1"/>
        <v>18</v>
      </c>
      <c r="L8" s="2187" t="s">
        <v>1317</v>
      </c>
      <c r="M8" s="1211">
        <v>0</v>
      </c>
      <c r="N8" s="1211">
        <v>3</v>
      </c>
      <c r="O8" s="1211">
        <v>6</v>
      </c>
      <c r="P8" s="1211">
        <v>1</v>
      </c>
      <c r="Q8" s="1211">
        <v>0</v>
      </c>
      <c r="R8" s="1211">
        <v>0</v>
      </c>
      <c r="S8" s="1211">
        <v>0</v>
      </c>
      <c r="T8" s="2188">
        <f t="shared" si="0"/>
        <v>10</v>
      </c>
      <c r="U8" s="3404">
        <f>+K8+K9</f>
        <v>23</v>
      </c>
      <c r="V8" s="3405">
        <f t="shared" ref="V8" si="3">+K8+K9</f>
        <v>23</v>
      </c>
    </row>
    <row r="9" spans="2:30" ht="12.75" customHeight="1">
      <c r="B9" s="3403"/>
      <c r="C9" s="2467" t="s">
        <v>1329</v>
      </c>
      <c r="D9" s="2264">
        <v>0</v>
      </c>
      <c r="E9" s="2265">
        <v>4</v>
      </c>
      <c r="F9" s="2266">
        <v>0</v>
      </c>
      <c r="G9" s="2266">
        <v>0</v>
      </c>
      <c r="H9" s="2266">
        <v>0</v>
      </c>
      <c r="I9" s="2265">
        <v>1</v>
      </c>
      <c r="J9" s="2267">
        <v>0</v>
      </c>
      <c r="K9" s="2259">
        <f t="shared" si="1"/>
        <v>5</v>
      </c>
      <c r="L9" s="1227" t="s">
        <v>1330</v>
      </c>
      <c r="M9" s="1213">
        <v>1</v>
      </c>
      <c r="N9" s="1213">
        <v>7</v>
      </c>
      <c r="O9" s="1213">
        <v>5</v>
      </c>
      <c r="P9" s="1213">
        <v>0</v>
      </c>
      <c r="Q9" s="1213">
        <v>0</v>
      </c>
      <c r="R9" s="1213">
        <v>0</v>
      </c>
      <c r="S9" s="1213">
        <v>0</v>
      </c>
      <c r="T9" s="2191">
        <f t="shared" si="0"/>
        <v>13</v>
      </c>
      <c r="U9" s="3404"/>
      <c r="V9" s="3405"/>
    </row>
    <row r="10" spans="2:30" ht="12.75" customHeight="1">
      <c r="B10" s="3402" t="s">
        <v>1333</v>
      </c>
      <c r="C10" s="2469" t="s">
        <v>1328</v>
      </c>
      <c r="D10" s="2268">
        <v>0</v>
      </c>
      <c r="E10" s="2269">
        <v>0</v>
      </c>
      <c r="F10" s="2270">
        <v>0</v>
      </c>
      <c r="G10" s="2270">
        <v>0</v>
      </c>
      <c r="H10" s="2270">
        <v>0</v>
      </c>
      <c r="I10" s="2269">
        <v>3</v>
      </c>
      <c r="J10" s="2271">
        <v>0</v>
      </c>
      <c r="K10" s="2272">
        <f t="shared" si="1"/>
        <v>3</v>
      </c>
      <c r="L10" s="2187" t="s">
        <v>1317</v>
      </c>
      <c r="M10" s="1211">
        <v>0</v>
      </c>
      <c r="N10" s="1211">
        <v>0</v>
      </c>
      <c r="O10" s="1211">
        <v>1</v>
      </c>
      <c r="P10" s="1211">
        <v>1</v>
      </c>
      <c r="Q10" s="1211">
        <v>1</v>
      </c>
      <c r="R10" s="1211">
        <v>0</v>
      </c>
      <c r="S10" s="1211">
        <v>0</v>
      </c>
      <c r="T10" s="2188">
        <f t="shared" si="0"/>
        <v>3</v>
      </c>
      <c r="U10" s="3404">
        <f>+K10+K11</f>
        <v>3</v>
      </c>
      <c r="V10" s="3405">
        <f t="shared" ref="V10" si="4">+K10+K11</f>
        <v>3</v>
      </c>
    </row>
    <row r="11" spans="2:30" ht="12.75" customHeight="1">
      <c r="B11" s="3403"/>
      <c r="C11" s="2467" t="s">
        <v>1329</v>
      </c>
      <c r="D11" s="2273">
        <v>0</v>
      </c>
      <c r="E11" s="2274">
        <v>0</v>
      </c>
      <c r="F11" s="2275">
        <v>0</v>
      </c>
      <c r="G11" s="2275">
        <v>0</v>
      </c>
      <c r="H11" s="2275">
        <v>0</v>
      </c>
      <c r="I11" s="2274">
        <v>0</v>
      </c>
      <c r="J11" s="2276">
        <v>0</v>
      </c>
      <c r="K11" s="2259">
        <f t="shared" si="1"/>
        <v>0</v>
      </c>
      <c r="L11" s="1227" t="s">
        <v>1330</v>
      </c>
      <c r="M11" s="1213">
        <v>0</v>
      </c>
      <c r="N11" s="1213">
        <v>0</v>
      </c>
      <c r="O11" s="1213">
        <v>0</v>
      </c>
      <c r="P11" s="1213">
        <v>0</v>
      </c>
      <c r="Q11" s="1213">
        <v>0</v>
      </c>
      <c r="R11" s="1213">
        <v>0</v>
      </c>
      <c r="S11" s="1213">
        <v>0</v>
      </c>
      <c r="T11" s="2191">
        <f t="shared" si="0"/>
        <v>0</v>
      </c>
      <c r="U11" s="3404"/>
      <c r="V11" s="3405"/>
    </row>
    <row r="12" spans="2:30" ht="12.75" customHeight="1">
      <c r="B12" s="3408" t="s">
        <v>1334</v>
      </c>
      <c r="C12" s="2468" t="s">
        <v>1328</v>
      </c>
      <c r="D12" s="2277">
        <v>2</v>
      </c>
      <c r="E12" s="2278">
        <v>3</v>
      </c>
      <c r="F12" s="2279">
        <v>0</v>
      </c>
      <c r="G12" s="2279">
        <v>1</v>
      </c>
      <c r="H12" s="2279">
        <v>1</v>
      </c>
      <c r="I12" s="2278">
        <v>6</v>
      </c>
      <c r="J12" s="2280">
        <v>0</v>
      </c>
      <c r="K12" s="2256">
        <f t="shared" si="1"/>
        <v>13</v>
      </c>
      <c r="L12" s="1220" t="s">
        <v>1317</v>
      </c>
      <c r="M12" s="1241">
        <v>0</v>
      </c>
      <c r="N12" s="1241">
        <v>4</v>
      </c>
      <c r="O12" s="1241">
        <v>4</v>
      </c>
      <c r="P12" s="1241">
        <v>0</v>
      </c>
      <c r="Q12" s="1241">
        <v>0</v>
      </c>
      <c r="R12" s="1241">
        <v>0</v>
      </c>
      <c r="S12" s="1241">
        <v>0</v>
      </c>
      <c r="T12" s="1222">
        <f t="shared" si="0"/>
        <v>8</v>
      </c>
      <c r="U12" s="3404">
        <f>+K12+K13</f>
        <v>33</v>
      </c>
      <c r="V12" s="3405">
        <f t="shared" ref="V12" si="5">+K12+K13</f>
        <v>33</v>
      </c>
    </row>
    <row r="13" spans="2:30" ht="12.75" customHeight="1">
      <c r="B13" s="3408"/>
      <c r="C13" s="2468" t="s">
        <v>1329</v>
      </c>
      <c r="D13" s="2281">
        <v>1</v>
      </c>
      <c r="E13" s="2282">
        <v>14</v>
      </c>
      <c r="F13" s="2283">
        <v>0</v>
      </c>
      <c r="G13" s="2283">
        <v>3</v>
      </c>
      <c r="H13" s="2283">
        <v>0</v>
      </c>
      <c r="I13" s="2282">
        <v>2</v>
      </c>
      <c r="J13" s="2284">
        <v>0</v>
      </c>
      <c r="K13" s="2256">
        <f t="shared" si="1"/>
        <v>20</v>
      </c>
      <c r="L13" s="1220" t="s">
        <v>1330</v>
      </c>
      <c r="M13" s="1241">
        <v>0</v>
      </c>
      <c r="N13" s="1241">
        <v>10</v>
      </c>
      <c r="O13" s="1241">
        <v>13</v>
      </c>
      <c r="P13" s="1241">
        <v>1</v>
      </c>
      <c r="Q13" s="1241">
        <v>0</v>
      </c>
      <c r="R13" s="1241">
        <v>0</v>
      </c>
      <c r="S13" s="1241">
        <v>1</v>
      </c>
      <c r="T13" s="1222">
        <f>SUM(N13:S13)</f>
        <v>25</v>
      </c>
      <c r="U13" s="3404"/>
      <c r="V13" s="3405"/>
    </row>
    <row r="14" spans="2:30" ht="12.75" customHeight="1">
      <c r="B14" s="3402" t="s">
        <v>1335</v>
      </c>
      <c r="C14" s="2469" t="s">
        <v>1328</v>
      </c>
      <c r="D14" s="2285">
        <v>0</v>
      </c>
      <c r="E14" s="2286">
        <v>2</v>
      </c>
      <c r="F14" s="2287">
        <v>0</v>
      </c>
      <c r="G14" s="2287">
        <v>2</v>
      </c>
      <c r="H14" s="2287">
        <v>5</v>
      </c>
      <c r="I14" s="2286">
        <v>7</v>
      </c>
      <c r="J14" s="2288">
        <v>0</v>
      </c>
      <c r="K14" s="2272">
        <f t="shared" si="1"/>
        <v>16</v>
      </c>
      <c r="L14" s="2187" t="s">
        <v>1317</v>
      </c>
      <c r="M14" s="1211">
        <v>0</v>
      </c>
      <c r="N14" s="1211">
        <v>2</v>
      </c>
      <c r="O14" s="1211">
        <v>5</v>
      </c>
      <c r="P14" s="1211">
        <v>0</v>
      </c>
      <c r="Q14" s="1211">
        <v>0</v>
      </c>
      <c r="R14" s="1211">
        <v>0</v>
      </c>
      <c r="S14" s="1211">
        <v>0</v>
      </c>
      <c r="T14" s="2188">
        <f t="shared" ref="T14:T27" si="6">SUM(M14:S14)</f>
        <v>7</v>
      </c>
      <c r="U14" s="3404">
        <f>+K14+K15</f>
        <v>17</v>
      </c>
      <c r="V14" s="3405">
        <f t="shared" ref="V14" si="7">+K14+K15</f>
        <v>17</v>
      </c>
    </row>
    <row r="15" spans="2:30" ht="12.75" customHeight="1">
      <c r="B15" s="3403"/>
      <c r="C15" s="2467" t="s">
        <v>1329</v>
      </c>
      <c r="D15" s="2289">
        <v>0</v>
      </c>
      <c r="E15" s="2290">
        <v>0</v>
      </c>
      <c r="F15" s="2291">
        <v>0</v>
      </c>
      <c r="G15" s="2291">
        <v>0</v>
      </c>
      <c r="H15" s="2291">
        <v>1</v>
      </c>
      <c r="I15" s="2290">
        <v>0</v>
      </c>
      <c r="J15" s="2292">
        <v>0</v>
      </c>
      <c r="K15" s="2259">
        <f t="shared" si="1"/>
        <v>1</v>
      </c>
      <c r="L15" s="1227" t="s">
        <v>1330</v>
      </c>
      <c r="M15" s="1213">
        <v>0</v>
      </c>
      <c r="N15" s="1213">
        <v>3</v>
      </c>
      <c r="O15" s="1213">
        <v>7</v>
      </c>
      <c r="P15" s="1213">
        <v>0</v>
      </c>
      <c r="Q15" s="1213">
        <v>0</v>
      </c>
      <c r="R15" s="1213">
        <v>0</v>
      </c>
      <c r="S15" s="1213">
        <v>0</v>
      </c>
      <c r="T15" s="2191">
        <f t="shared" si="6"/>
        <v>10</v>
      </c>
      <c r="U15" s="3404"/>
      <c r="V15" s="3405"/>
    </row>
    <row r="16" spans="2:30" ht="12.75" customHeight="1">
      <c r="B16" s="3408" t="s">
        <v>1336</v>
      </c>
      <c r="C16" s="2468" t="s">
        <v>1328</v>
      </c>
      <c r="D16" s="2293">
        <v>1</v>
      </c>
      <c r="E16" s="2294">
        <v>4</v>
      </c>
      <c r="F16" s="2295">
        <v>1</v>
      </c>
      <c r="G16" s="2295">
        <v>1</v>
      </c>
      <c r="H16" s="2295">
        <v>0</v>
      </c>
      <c r="I16" s="2294">
        <v>1</v>
      </c>
      <c r="J16" s="2296">
        <v>0</v>
      </c>
      <c r="K16" s="2256">
        <f t="shared" si="1"/>
        <v>8</v>
      </c>
      <c r="L16" s="1220" t="s">
        <v>1317</v>
      </c>
      <c r="M16" s="1241">
        <v>0</v>
      </c>
      <c r="N16" s="1241">
        <v>1</v>
      </c>
      <c r="O16" s="1241">
        <v>1</v>
      </c>
      <c r="P16" s="1241">
        <v>0</v>
      </c>
      <c r="Q16" s="1241">
        <v>0</v>
      </c>
      <c r="R16" s="1241">
        <v>0</v>
      </c>
      <c r="S16" s="1241">
        <v>0</v>
      </c>
      <c r="T16" s="1222">
        <f t="shared" si="6"/>
        <v>2</v>
      </c>
      <c r="U16" s="3404">
        <f>+K16+K17</f>
        <v>10</v>
      </c>
      <c r="V16" s="3405">
        <f t="shared" ref="V16" si="8">+K16+K17</f>
        <v>10</v>
      </c>
    </row>
    <row r="17" spans="2:24" ht="12.75" customHeight="1">
      <c r="B17" s="3408"/>
      <c r="C17" s="2468" t="s">
        <v>1329</v>
      </c>
      <c r="D17" s="2297">
        <v>0</v>
      </c>
      <c r="E17" s="2298">
        <v>1</v>
      </c>
      <c r="F17" s="2299">
        <v>0</v>
      </c>
      <c r="G17" s="2299">
        <v>0</v>
      </c>
      <c r="H17" s="2299">
        <v>0</v>
      </c>
      <c r="I17" s="2298">
        <v>1</v>
      </c>
      <c r="J17" s="2300">
        <v>0</v>
      </c>
      <c r="K17" s="2259">
        <f t="shared" si="1"/>
        <v>2</v>
      </c>
      <c r="L17" s="1220" t="s">
        <v>1330</v>
      </c>
      <c r="M17" s="1241">
        <v>0</v>
      </c>
      <c r="N17" s="1241">
        <v>5</v>
      </c>
      <c r="O17" s="1241">
        <v>3</v>
      </c>
      <c r="P17" s="1241">
        <v>0</v>
      </c>
      <c r="Q17" s="1241">
        <v>0</v>
      </c>
      <c r="R17" s="1241">
        <v>0</v>
      </c>
      <c r="S17" s="1241">
        <v>0</v>
      </c>
      <c r="T17" s="1222">
        <f t="shared" si="6"/>
        <v>8</v>
      </c>
      <c r="U17" s="3404"/>
      <c r="V17" s="3405"/>
    </row>
    <row r="18" spans="2:24" ht="12.75" customHeight="1">
      <c r="B18" s="3402" t="s">
        <v>1337</v>
      </c>
      <c r="C18" s="2469" t="s">
        <v>1328</v>
      </c>
      <c r="D18" s="2301">
        <v>5</v>
      </c>
      <c r="E18" s="2302">
        <v>6</v>
      </c>
      <c r="F18" s="2303">
        <v>3</v>
      </c>
      <c r="G18" s="2303">
        <v>6</v>
      </c>
      <c r="H18" s="2303">
        <v>1</v>
      </c>
      <c r="I18" s="2302">
        <v>6</v>
      </c>
      <c r="J18" s="2304">
        <v>0</v>
      </c>
      <c r="K18" s="2272">
        <f t="shared" si="1"/>
        <v>27</v>
      </c>
      <c r="L18" s="2187" t="s">
        <v>1317</v>
      </c>
      <c r="M18" s="1211">
        <v>0</v>
      </c>
      <c r="N18" s="1211">
        <v>2</v>
      </c>
      <c r="O18" s="1211">
        <v>5</v>
      </c>
      <c r="P18" s="1211">
        <v>0</v>
      </c>
      <c r="Q18" s="1211">
        <v>0</v>
      </c>
      <c r="R18" s="1211">
        <v>0</v>
      </c>
      <c r="S18" s="1211">
        <v>0</v>
      </c>
      <c r="T18" s="2188">
        <f t="shared" si="6"/>
        <v>7</v>
      </c>
      <c r="U18" s="3404">
        <f>+K18+K19</f>
        <v>35</v>
      </c>
      <c r="V18" s="3405">
        <f t="shared" ref="V18" si="9">+K18+K19</f>
        <v>35</v>
      </c>
    </row>
    <row r="19" spans="2:24" ht="12.75" customHeight="1">
      <c r="B19" s="3403"/>
      <c r="C19" s="2467" t="s">
        <v>1329</v>
      </c>
      <c r="D19" s="2305">
        <v>1</v>
      </c>
      <c r="E19" s="2306">
        <v>6</v>
      </c>
      <c r="F19" s="2307">
        <v>0</v>
      </c>
      <c r="G19" s="2307">
        <v>0</v>
      </c>
      <c r="H19" s="2307">
        <v>0</v>
      </c>
      <c r="I19" s="2306">
        <v>1</v>
      </c>
      <c r="J19" s="2308">
        <v>0</v>
      </c>
      <c r="K19" s="2259">
        <f t="shared" si="1"/>
        <v>8</v>
      </c>
      <c r="L19" s="1227" t="s">
        <v>1330</v>
      </c>
      <c r="M19" s="1213">
        <v>0</v>
      </c>
      <c r="N19" s="1213">
        <v>12</v>
      </c>
      <c r="O19" s="1213">
        <v>15</v>
      </c>
      <c r="P19" s="1213">
        <v>1</v>
      </c>
      <c r="Q19" s="1213">
        <v>0</v>
      </c>
      <c r="R19" s="1213">
        <v>0</v>
      </c>
      <c r="S19" s="1213">
        <v>0</v>
      </c>
      <c r="T19" s="2191">
        <f t="shared" si="6"/>
        <v>28</v>
      </c>
      <c r="U19" s="3404"/>
      <c r="V19" s="3405"/>
    </row>
    <row r="20" spans="2:24" ht="12.75" hidden="1" customHeight="1">
      <c r="B20" s="3410" t="s">
        <v>1338</v>
      </c>
      <c r="C20" s="2469" t="s">
        <v>1328</v>
      </c>
      <c r="D20" s="2309"/>
      <c r="E20" s="2226"/>
      <c r="F20" s="2310"/>
      <c r="G20" s="2310"/>
      <c r="H20" s="2310"/>
      <c r="I20" s="2310"/>
      <c r="J20" s="2311"/>
      <c r="K20" s="2272">
        <f t="shared" si="1"/>
        <v>0</v>
      </c>
      <c r="L20" s="2187" t="s">
        <v>1317</v>
      </c>
      <c r="M20" s="1211"/>
      <c r="N20" s="1211"/>
      <c r="O20" s="1211"/>
      <c r="P20" s="1211"/>
      <c r="Q20" s="1211"/>
      <c r="R20" s="1211"/>
      <c r="S20" s="1211"/>
      <c r="T20" s="2188">
        <f t="shared" si="6"/>
        <v>0</v>
      </c>
      <c r="U20" s="3412">
        <f>+K20+K21</f>
        <v>0</v>
      </c>
      <c r="V20" s="3405">
        <f t="shared" ref="V20" si="10">+K20+K21</f>
        <v>0</v>
      </c>
    </row>
    <row r="21" spans="2:24" ht="12.75" hidden="1" customHeight="1">
      <c r="B21" s="3411"/>
      <c r="C21" s="2468" t="s">
        <v>1329</v>
      </c>
      <c r="D21" s="2250"/>
      <c r="E21" s="2227"/>
      <c r="F21" s="2257"/>
      <c r="G21" s="2257"/>
      <c r="H21" s="2257"/>
      <c r="I21" s="2257"/>
      <c r="J21" s="2258"/>
      <c r="K21" s="2259">
        <f t="shared" si="1"/>
        <v>0</v>
      </c>
      <c r="L21" s="1227" t="s">
        <v>1330</v>
      </c>
      <c r="M21" s="1213"/>
      <c r="N21" s="1213"/>
      <c r="O21" s="1213"/>
      <c r="P21" s="1213"/>
      <c r="Q21" s="1213"/>
      <c r="R21" s="1213"/>
      <c r="S21" s="1213"/>
      <c r="T21" s="2191">
        <f t="shared" si="6"/>
        <v>0</v>
      </c>
      <c r="U21" s="3412"/>
      <c r="V21" s="3405"/>
    </row>
    <row r="22" spans="2:24" ht="12.75" customHeight="1">
      <c r="B22" s="3413" t="s">
        <v>1339</v>
      </c>
      <c r="C22" s="2469" t="s">
        <v>1328</v>
      </c>
      <c r="D22" s="2312">
        <v>3</v>
      </c>
      <c r="E22" s="2313">
        <v>3</v>
      </c>
      <c r="F22" s="2314">
        <v>0</v>
      </c>
      <c r="G22" s="2314">
        <v>3</v>
      </c>
      <c r="H22" s="2314">
        <v>0</v>
      </c>
      <c r="I22" s="2313">
        <v>1</v>
      </c>
      <c r="J22" s="2315">
        <v>0</v>
      </c>
      <c r="K22" s="2272">
        <f t="shared" si="1"/>
        <v>10</v>
      </c>
      <c r="L22" s="2187" t="s">
        <v>1317</v>
      </c>
      <c r="M22" s="1211">
        <v>0</v>
      </c>
      <c r="N22" s="1211">
        <v>0</v>
      </c>
      <c r="O22" s="1211">
        <v>1</v>
      </c>
      <c r="P22" s="1211">
        <v>0</v>
      </c>
      <c r="Q22" s="1211">
        <v>0</v>
      </c>
      <c r="R22" s="1211">
        <v>0</v>
      </c>
      <c r="S22" s="1211">
        <v>0</v>
      </c>
      <c r="T22" s="2188">
        <f t="shared" si="6"/>
        <v>1</v>
      </c>
      <c r="U22" s="3404">
        <f>+K22+K23</f>
        <v>21</v>
      </c>
      <c r="V22" s="3405">
        <f t="shared" ref="V22" si="11">+K22+K23</f>
        <v>21</v>
      </c>
    </row>
    <row r="23" spans="2:24" ht="12.75" customHeight="1">
      <c r="B23" s="3414"/>
      <c r="C23" s="2467" t="s">
        <v>1329</v>
      </c>
      <c r="D23" s="2316">
        <v>2</v>
      </c>
      <c r="E23" s="2317">
        <v>5</v>
      </c>
      <c r="F23" s="2318">
        <v>0</v>
      </c>
      <c r="G23" s="2318">
        <v>4</v>
      </c>
      <c r="H23" s="2318">
        <v>0</v>
      </c>
      <c r="I23" s="2317">
        <v>0</v>
      </c>
      <c r="J23" s="2319">
        <v>0</v>
      </c>
      <c r="K23" s="2259">
        <f t="shared" si="1"/>
        <v>11</v>
      </c>
      <c r="L23" s="1227" t="s">
        <v>1330</v>
      </c>
      <c r="M23" s="1213">
        <v>1</v>
      </c>
      <c r="N23" s="1213">
        <v>11</v>
      </c>
      <c r="O23" s="1213">
        <v>8</v>
      </c>
      <c r="P23" s="1213">
        <v>0</v>
      </c>
      <c r="Q23" s="1213">
        <v>0</v>
      </c>
      <c r="R23" s="1213">
        <v>0</v>
      </c>
      <c r="S23" s="1213">
        <v>0</v>
      </c>
      <c r="T23" s="2191">
        <f t="shared" si="6"/>
        <v>20</v>
      </c>
      <c r="U23" s="3404"/>
      <c r="V23" s="3405"/>
    </row>
    <row r="24" spans="2:24" ht="12.75" customHeight="1">
      <c r="B24" s="3408" t="s">
        <v>1340</v>
      </c>
      <c r="C24" s="2468" t="s">
        <v>1328</v>
      </c>
      <c r="D24" s="2320">
        <v>1</v>
      </c>
      <c r="E24" s="2321">
        <v>0</v>
      </c>
      <c r="F24" s="2322">
        <v>0</v>
      </c>
      <c r="G24" s="2322">
        <v>2</v>
      </c>
      <c r="H24" s="2322">
        <v>0</v>
      </c>
      <c r="I24" s="2321">
        <v>2</v>
      </c>
      <c r="J24" s="2323">
        <v>0</v>
      </c>
      <c r="K24" s="2256">
        <f t="shared" si="1"/>
        <v>5</v>
      </c>
      <c r="L24" s="1220" t="s">
        <v>1317</v>
      </c>
      <c r="M24" s="2254">
        <v>2</v>
      </c>
      <c r="N24" s="2254">
        <v>3</v>
      </c>
      <c r="O24" s="2254">
        <v>0</v>
      </c>
      <c r="P24" s="2254">
        <v>0</v>
      </c>
      <c r="Q24" s="2253">
        <v>0</v>
      </c>
      <c r="R24" s="2324">
        <v>0</v>
      </c>
      <c r="S24" s="1241">
        <v>0</v>
      </c>
      <c r="T24" s="1222">
        <f t="shared" si="6"/>
        <v>5</v>
      </c>
      <c r="U24" s="3404">
        <f>+K24+K25</f>
        <v>9</v>
      </c>
      <c r="V24" s="3405">
        <f t="shared" ref="V24" si="12">+K24+K25</f>
        <v>9</v>
      </c>
    </row>
    <row r="25" spans="2:24" ht="12.75" customHeight="1">
      <c r="B25" s="3403"/>
      <c r="C25" s="2468" t="s">
        <v>1329</v>
      </c>
      <c r="D25" s="2325">
        <v>0</v>
      </c>
      <c r="E25" s="2326">
        <v>1</v>
      </c>
      <c r="F25" s="2327">
        <v>0</v>
      </c>
      <c r="G25" s="2327">
        <v>0</v>
      </c>
      <c r="H25" s="2327">
        <v>0</v>
      </c>
      <c r="I25" s="2326">
        <v>3</v>
      </c>
      <c r="J25" s="2328">
        <v>0</v>
      </c>
      <c r="K25" s="2259">
        <f t="shared" si="1"/>
        <v>4</v>
      </c>
      <c r="L25" s="1227" t="s">
        <v>1330</v>
      </c>
      <c r="M25" s="2257">
        <v>0</v>
      </c>
      <c r="N25" s="2257">
        <v>3</v>
      </c>
      <c r="O25" s="2257">
        <v>1</v>
      </c>
      <c r="P25" s="2257">
        <v>0</v>
      </c>
      <c r="Q25" s="2329">
        <v>0</v>
      </c>
      <c r="R25" s="2330">
        <v>0</v>
      </c>
      <c r="S25" s="1213">
        <v>0</v>
      </c>
      <c r="T25" s="2191">
        <f t="shared" si="6"/>
        <v>4</v>
      </c>
      <c r="U25" s="3404"/>
      <c r="V25" s="3405"/>
    </row>
    <row r="26" spans="2:24" ht="12.75" customHeight="1">
      <c r="B26" s="3402" t="s">
        <v>1341</v>
      </c>
      <c r="C26" s="2469" t="s">
        <v>1328</v>
      </c>
      <c r="D26" s="2331">
        <v>1</v>
      </c>
      <c r="E26" s="2332">
        <v>1</v>
      </c>
      <c r="F26" s="2333">
        <v>0</v>
      </c>
      <c r="G26" s="2333">
        <v>2</v>
      </c>
      <c r="H26" s="2333">
        <v>0</v>
      </c>
      <c r="I26" s="2332">
        <v>2</v>
      </c>
      <c r="J26" s="2334">
        <v>0</v>
      </c>
      <c r="K26" s="2272">
        <f t="shared" si="1"/>
        <v>6</v>
      </c>
      <c r="L26" s="2187" t="s">
        <v>1317</v>
      </c>
      <c r="M26" s="1211">
        <v>1</v>
      </c>
      <c r="N26" s="1211">
        <v>0</v>
      </c>
      <c r="O26" s="1211">
        <v>2</v>
      </c>
      <c r="P26" s="1211">
        <v>0</v>
      </c>
      <c r="Q26" s="1211">
        <v>0</v>
      </c>
      <c r="R26" s="1211">
        <v>0</v>
      </c>
      <c r="S26" s="1211">
        <v>0</v>
      </c>
      <c r="T26" s="2188">
        <f t="shared" si="6"/>
        <v>3</v>
      </c>
      <c r="U26" s="3404">
        <f>+K26+K27</f>
        <v>12</v>
      </c>
      <c r="V26" s="3405">
        <f t="shared" ref="V26" si="13">+K26+K27</f>
        <v>12</v>
      </c>
    </row>
    <row r="27" spans="2:24" ht="12.75" customHeight="1" thickBot="1">
      <c r="B27" s="3403"/>
      <c r="C27" s="2467" t="s">
        <v>1329</v>
      </c>
      <c r="D27" s="2335">
        <v>1</v>
      </c>
      <c r="E27" s="2336">
        <v>3</v>
      </c>
      <c r="F27" s="2337">
        <v>0</v>
      </c>
      <c r="G27" s="2337">
        <v>1</v>
      </c>
      <c r="H27" s="2337">
        <v>0</v>
      </c>
      <c r="I27" s="2336">
        <v>1</v>
      </c>
      <c r="J27" s="2338">
        <v>0</v>
      </c>
      <c r="K27" s="2259">
        <f t="shared" si="1"/>
        <v>6</v>
      </c>
      <c r="L27" s="1227" t="s">
        <v>1330</v>
      </c>
      <c r="M27" s="1213">
        <v>0</v>
      </c>
      <c r="N27" s="1213">
        <v>6</v>
      </c>
      <c r="O27" s="1213">
        <v>3</v>
      </c>
      <c r="P27" s="1213">
        <v>0</v>
      </c>
      <c r="Q27" s="1213">
        <v>0</v>
      </c>
      <c r="R27" s="1213">
        <v>0</v>
      </c>
      <c r="S27" s="1213">
        <v>0</v>
      </c>
      <c r="T27" s="2191">
        <f t="shared" si="6"/>
        <v>9</v>
      </c>
      <c r="U27" s="3404"/>
      <c r="V27" s="3405"/>
    </row>
    <row r="28" spans="2:24" ht="12.75" customHeight="1">
      <c r="B28" s="3410" t="s">
        <v>1342</v>
      </c>
      <c r="C28" s="2469" t="s">
        <v>1328</v>
      </c>
      <c r="D28" s="2339">
        <v>3</v>
      </c>
      <c r="E28" s="2340">
        <v>2</v>
      </c>
      <c r="F28" s="2341">
        <v>0</v>
      </c>
      <c r="G28" s="2341">
        <v>2</v>
      </c>
      <c r="H28" s="2341">
        <v>1</v>
      </c>
      <c r="I28" s="2340">
        <v>2</v>
      </c>
      <c r="J28" s="2342">
        <v>0</v>
      </c>
      <c r="K28" s="2272">
        <f>SUM(D28:J28)</f>
        <v>10</v>
      </c>
      <c r="L28" s="2187" t="s">
        <v>1317</v>
      </c>
      <c r="M28" s="1211">
        <v>0</v>
      </c>
      <c r="N28" s="1211">
        <v>2</v>
      </c>
      <c r="O28" s="1211">
        <v>0</v>
      </c>
      <c r="P28" s="1211">
        <v>0</v>
      </c>
      <c r="Q28" s="1211">
        <v>0</v>
      </c>
      <c r="R28" s="1211">
        <v>0</v>
      </c>
      <c r="S28" s="1211">
        <v>0</v>
      </c>
      <c r="T28" s="2188">
        <f>SUM(M28:S28)</f>
        <v>2</v>
      </c>
      <c r="U28" s="1214"/>
      <c r="V28" s="1215"/>
      <c r="X28" s="1216" t="s">
        <v>1343</v>
      </c>
    </row>
    <row r="29" spans="2:24" ht="12.75" customHeight="1" thickBot="1">
      <c r="B29" s="3416"/>
      <c r="C29" s="2470" t="s">
        <v>1329</v>
      </c>
      <c r="D29" s="2343">
        <v>3</v>
      </c>
      <c r="E29" s="2344">
        <v>2</v>
      </c>
      <c r="F29" s="2345">
        <v>0</v>
      </c>
      <c r="G29" s="2345">
        <v>3</v>
      </c>
      <c r="H29" s="2345">
        <v>1</v>
      </c>
      <c r="I29" s="2344">
        <v>0</v>
      </c>
      <c r="J29" s="2346">
        <v>0</v>
      </c>
      <c r="K29" s="2347">
        <f>SUM(D29:J29)</f>
        <v>9</v>
      </c>
      <c r="L29" s="1305" t="s">
        <v>1330</v>
      </c>
      <c r="M29" s="2348">
        <v>0</v>
      </c>
      <c r="N29" s="2348">
        <v>11</v>
      </c>
      <c r="O29" s="2348">
        <v>6</v>
      </c>
      <c r="P29" s="2348">
        <v>0</v>
      </c>
      <c r="Q29" s="2348">
        <v>0</v>
      </c>
      <c r="R29" s="2348">
        <v>0</v>
      </c>
      <c r="S29" s="2348">
        <v>0</v>
      </c>
      <c r="T29" s="2228">
        <f>SUM(M29:S29)</f>
        <v>17</v>
      </c>
      <c r="U29" s="3404">
        <f>+K28+K29</f>
        <v>19</v>
      </c>
      <c r="V29" s="3405">
        <f>+K28+K29</f>
        <v>19</v>
      </c>
    </row>
    <row r="30" spans="2:24" ht="12.75" customHeight="1">
      <c r="B30" s="2471" t="s">
        <v>1344</v>
      </c>
      <c r="C30" s="2472"/>
      <c r="D30" s="1217"/>
      <c r="E30" s="1217"/>
      <c r="F30" s="1218"/>
      <c r="G30" s="1218"/>
      <c r="H30" s="1218"/>
      <c r="I30" s="1217"/>
      <c r="J30" s="1218"/>
      <c r="K30" s="1219"/>
      <c r="L30" s="1220"/>
      <c r="M30" s="1221"/>
      <c r="N30" s="1221"/>
      <c r="O30" s="1221"/>
      <c r="P30" s="1221"/>
      <c r="Q30" s="1221"/>
      <c r="R30" s="1221"/>
      <c r="S30" s="1221"/>
      <c r="T30" s="1222"/>
      <c r="U30" s="3404"/>
      <c r="V30" s="3405"/>
    </row>
    <row r="31" spans="2:24" ht="12.75" customHeight="1">
      <c r="B31" s="3415" t="s">
        <v>1345</v>
      </c>
      <c r="C31" s="2472" t="s">
        <v>1328</v>
      </c>
      <c r="D31" s="1217">
        <v>0</v>
      </c>
      <c r="E31" s="1217">
        <v>2</v>
      </c>
      <c r="F31" s="1218">
        <v>0</v>
      </c>
      <c r="G31" s="1218">
        <v>2</v>
      </c>
      <c r="H31" s="1218">
        <v>0</v>
      </c>
      <c r="I31" s="1217">
        <v>0</v>
      </c>
      <c r="J31" s="1218">
        <v>0</v>
      </c>
      <c r="K31" s="1219">
        <f t="shared" ref="K31:K36" si="14">SUM(D31:J31)</f>
        <v>4</v>
      </c>
      <c r="L31" s="1220" t="s">
        <v>1317</v>
      </c>
      <c r="M31" s="1221">
        <v>0</v>
      </c>
      <c r="N31" s="1221">
        <v>3</v>
      </c>
      <c r="O31" s="1221">
        <v>1</v>
      </c>
      <c r="P31" s="1221">
        <v>0</v>
      </c>
      <c r="Q31" s="1221">
        <v>0</v>
      </c>
      <c r="R31" s="1221">
        <v>0</v>
      </c>
      <c r="S31" s="1221">
        <v>0</v>
      </c>
      <c r="T31" s="1222">
        <f t="shared" ref="T31:T36" si="15">SUM(M31:S31)</f>
        <v>4</v>
      </c>
      <c r="U31" s="3404">
        <f>+K31+K32</f>
        <v>10</v>
      </c>
      <c r="V31" s="3405">
        <f>+K31+K32</f>
        <v>10</v>
      </c>
      <c r="X31" s="1223"/>
    </row>
    <row r="32" spans="2:24" ht="12.75" customHeight="1">
      <c r="B32" s="3414"/>
      <c r="C32" s="2472" t="s">
        <v>1329</v>
      </c>
      <c r="D32" s="2349">
        <v>1</v>
      </c>
      <c r="E32" s="2349">
        <v>1</v>
      </c>
      <c r="F32" s="2350">
        <v>0</v>
      </c>
      <c r="G32" s="2350">
        <v>0</v>
      </c>
      <c r="H32" s="2350">
        <v>0</v>
      </c>
      <c r="I32" s="2349">
        <v>4</v>
      </c>
      <c r="J32" s="2350">
        <v>0</v>
      </c>
      <c r="K32" s="1226">
        <f t="shared" si="14"/>
        <v>6</v>
      </c>
      <c r="L32" s="1220" t="s">
        <v>1330</v>
      </c>
      <c r="M32" s="1221">
        <v>0</v>
      </c>
      <c r="N32" s="1221">
        <v>4</v>
      </c>
      <c r="O32" s="1221">
        <v>2</v>
      </c>
      <c r="P32" s="1221">
        <v>0</v>
      </c>
      <c r="Q32" s="1221">
        <v>0</v>
      </c>
      <c r="R32" s="1221">
        <v>0</v>
      </c>
      <c r="S32" s="1221">
        <v>0</v>
      </c>
      <c r="T32" s="1222">
        <f t="shared" si="15"/>
        <v>6</v>
      </c>
      <c r="U32" s="3404"/>
      <c r="V32" s="3405"/>
    </row>
    <row r="33" spans="2:22" ht="12.75" customHeight="1">
      <c r="B33" s="3402" t="s">
        <v>1346</v>
      </c>
      <c r="C33" s="2473" t="s">
        <v>1328</v>
      </c>
      <c r="D33" s="2351">
        <v>1</v>
      </c>
      <c r="E33" s="2351">
        <v>5</v>
      </c>
      <c r="F33" s="2352">
        <v>0</v>
      </c>
      <c r="G33" s="2352">
        <v>5</v>
      </c>
      <c r="H33" s="2352">
        <v>0</v>
      </c>
      <c r="I33" s="2351">
        <v>2</v>
      </c>
      <c r="J33" s="2352">
        <v>0</v>
      </c>
      <c r="K33" s="2186">
        <f t="shared" si="14"/>
        <v>13</v>
      </c>
      <c r="L33" s="2187" t="s">
        <v>1317</v>
      </c>
      <c r="M33" s="1211">
        <v>0</v>
      </c>
      <c r="N33" s="1211">
        <v>4</v>
      </c>
      <c r="O33" s="1211">
        <v>2</v>
      </c>
      <c r="P33" s="1211">
        <v>0</v>
      </c>
      <c r="Q33" s="1211">
        <v>0</v>
      </c>
      <c r="R33" s="1211">
        <v>0</v>
      </c>
      <c r="S33" s="1211"/>
      <c r="T33" s="2188">
        <f t="shared" si="15"/>
        <v>6</v>
      </c>
      <c r="U33" s="3404">
        <f>+K33+K34</f>
        <v>41</v>
      </c>
      <c r="V33" s="3405">
        <f>+K33+K34</f>
        <v>41</v>
      </c>
    </row>
    <row r="34" spans="2:22" ht="12.75" customHeight="1">
      <c r="B34" s="3403"/>
      <c r="C34" s="2474" t="s">
        <v>1329</v>
      </c>
      <c r="D34" s="2353">
        <v>3</v>
      </c>
      <c r="E34" s="2353">
        <v>18</v>
      </c>
      <c r="F34" s="2354">
        <v>0</v>
      </c>
      <c r="G34" s="2354">
        <v>2</v>
      </c>
      <c r="H34" s="2354">
        <v>1</v>
      </c>
      <c r="I34" s="2353">
        <v>4</v>
      </c>
      <c r="J34" s="2354">
        <v>0</v>
      </c>
      <c r="K34" s="1226">
        <f t="shared" si="14"/>
        <v>28</v>
      </c>
      <c r="L34" s="1227" t="s">
        <v>1330</v>
      </c>
      <c r="M34" s="1213">
        <v>1</v>
      </c>
      <c r="N34" s="1213">
        <v>20</v>
      </c>
      <c r="O34" s="1213">
        <v>14</v>
      </c>
      <c r="P34" s="1213">
        <v>0</v>
      </c>
      <c r="Q34" s="1213">
        <v>0</v>
      </c>
      <c r="R34" s="1213">
        <v>0</v>
      </c>
      <c r="S34" s="1213">
        <v>0</v>
      </c>
      <c r="T34" s="2191">
        <f t="shared" si="15"/>
        <v>35</v>
      </c>
      <c r="U34" s="3404"/>
      <c r="V34" s="3405"/>
    </row>
    <row r="35" spans="2:22" ht="12.75" customHeight="1">
      <c r="B35" s="3413" t="s">
        <v>1347</v>
      </c>
      <c r="C35" s="2472" t="s">
        <v>1328</v>
      </c>
      <c r="D35" s="2355">
        <v>1</v>
      </c>
      <c r="E35" s="2355">
        <v>4</v>
      </c>
      <c r="F35" s="2356">
        <v>0</v>
      </c>
      <c r="G35" s="2356">
        <v>5</v>
      </c>
      <c r="H35" s="2356">
        <v>2</v>
      </c>
      <c r="I35" s="2355">
        <v>12</v>
      </c>
      <c r="J35" s="2356">
        <v>0</v>
      </c>
      <c r="K35" s="1219">
        <f t="shared" si="14"/>
        <v>24</v>
      </c>
      <c r="L35" s="1220" t="s">
        <v>1317</v>
      </c>
      <c r="M35" s="1221">
        <v>1</v>
      </c>
      <c r="N35" s="1221">
        <v>5</v>
      </c>
      <c r="O35" s="1221">
        <v>8</v>
      </c>
      <c r="P35" s="1221">
        <v>0</v>
      </c>
      <c r="Q35" s="1221">
        <v>0</v>
      </c>
      <c r="R35" s="1221">
        <v>0</v>
      </c>
      <c r="S35" s="1221">
        <v>0</v>
      </c>
      <c r="T35" s="1222">
        <f t="shared" si="15"/>
        <v>14</v>
      </c>
      <c r="U35" s="3404">
        <f>+K35+K36</f>
        <v>36</v>
      </c>
      <c r="V35" s="3405">
        <f>+K36+K35</f>
        <v>36</v>
      </c>
    </row>
    <row r="36" spans="2:22" ht="12.75" customHeight="1">
      <c r="B36" s="3415"/>
      <c r="C36" s="2472" t="s">
        <v>1329</v>
      </c>
      <c r="D36" s="2357">
        <v>0</v>
      </c>
      <c r="E36" s="2357">
        <v>2</v>
      </c>
      <c r="F36" s="2358">
        <v>0</v>
      </c>
      <c r="G36" s="2358">
        <v>7</v>
      </c>
      <c r="H36" s="2358">
        <v>1</v>
      </c>
      <c r="I36" s="2357">
        <v>2</v>
      </c>
      <c r="J36" s="2358">
        <v>0</v>
      </c>
      <c r="K36" s="1219">
        <f t="shared" si="14"/>
        <v>12</v>
      </c>
      <c r="L36" s="1220" t="s">
        <v>1330</v>
      </c>
      <c r="M36" s="1221">
        <v>1</v>
      </c>
      <c r="N36" s="1221">
        <v>5</v>
      </c>
      <c r="O36" s="1221">
        <v>14</v>
      </c>
      <c r="P36" s="1221">
        <v>1</v>
      </c>
      <c r="Q36" s="1221">
        <v>1</v>
      </c>
      <c r="R36" s="1221">
        <v>0</v>
      </c>
      <c r="S36" s="1221">
        <v>0</v>
      </c>
      <c r="T36" s="1222">
        <f t="shared" si="15"/>
        <v>22</v>
      </c>
      <c r="U36" s="3404"/>
      <c r="V36" s="3405"/>
    </row>
    <row r="37" spans="2:22" ht="12.75" customHeight="1">
      <c r="B37" s="2475" t="s">
        <v>1348</v>
      </c>
      <c r="C37" s="2474"/>
      <c r="D37" s="1224"/>
      <c r="E37" s="1224"/>
      <c r="F37" s="1225"/>
      <c r="G37" s="1225"/>
      <c r="H37" s="1225"/>
      <c r="I37" s="1224"/>
      <c r="J37" s="1225"/>
      <c r="K37" s="1226"/>
      <c r="L37" s="1227"/>
      <c r="M37" s="1213"/>
      <c r="N37" s="1213"/>
      <c r="O37" s="1213"/>
      <c r="P37" s="1213"/>
      <c r="Q37" s="1213"/>
      <c r="R37" s="1213"/>
      <c r="S37" s="1213"/>
      <c r="T37" s="1213"/>
      <c r="U37" s="1212"/>
      <c r="V37" s="1228"/>
    </row>
    <row r="38" spans="2:22" ht="12.75" customHeight="1">
      <c r="B38" s="3408" t="s">
        <v>1349</v>
      </c>
      <c r="C38" s="2472" t="s">
        <v>1328</v>
      </c>
      <c r="D38" s="2359">
        <v>0</v>
      </c>
      <c r="E38" s="2359">
        <v>8</v>
      </c>
      <c r="F38" s="2360">
        <v>0</v>
      </c>
      <c r="G38" s="2360">
        <v>2</v>
      </c>
      <c r="H38" s="2360">
        <v>0</v>
      </c>
      <c r="I38" s="2359">
        <v>3</v>
      </c>
      <c r="J38" s="2360">
        <v>0</v>
      </c>
      <c r="K38" s="1219">
        <f t="shared" ref="K38:K47" si="16">SUM(D38:J38)</f>
        <v>13</v>
      </c>
      <c r="L38" s="1220" t="s">
        <v>1317</v>
      </c>
      <c r="M38" s="1241">
        <v>0</v>
      </c>
      <c r="N38" s="1241">
        <v>3</v>
      </c>
      <c r="O38" s="1241">
        <v>2</v>
      </c>
      <c r="P38" s="1241">
        <v>0</v>
      </c>
      <c r="Q38" s="1241">
        <v>0</v>
      </c>
      <c r="R38" s="1241">
        <v>0</v>
      </c>
      <c r="S38" s="1241">
        <v>0</v>
      </c>
      <c r="T38" s="1222">
        <f t="shared" ref="T38:T47" si="17">SUM(M38:S38)</f>
        <v>5</v>
      </c>
      <c r="U38" s="3417">
        <f>+K38+K39</f>
        <v>20</v>
      </c>
      <c r="V38" s="3405">
        <f>+K38+K39</f>
        <v>20</v>
      </c>
    </row>
    <row r="39" spans="2:22" ht="12.75" customHeight="1">
      <c r="B39" s="3408"/>
      <c r="C39" s="2472" t="s">
        <v>1329</v>
      </c>
      <c r="D39" s="2361">
        <v>0</v>
      </c>
      <c r="E39" s="2361">
        <v>4</v>
      </c>
      <c r="F39" s="2362">
        <v>0</v>
      </c>
      <c r="G39" s="2362">
        <v>1</v>
      </c>
      <c r="H39" s="2362">
        <v>0</v>
      </c>
      <c r="I39" s="2361">
        <v>2</v>
      </c>
      <c r="J39" s="2362">
        <v>0</v>
      </c>
      <c r="K39" s="1219">
        <f t="shared" si="16"/>
        <v>7</v>
      </c>
      <c r="L39" s="1220" t="s">
        <v>1330</v>
      </c>
      <c r="M39" s="1241">
        <v>0</v>
      </c>
      <c r="N39" s="1241">
        <v>12</v>
      </c>
      <c r="O39" s="1241">
        <v>2</v>
      </c>
      <c r="P39" s="1241">
        <v>0</v>
      </c>
      <c r="Q39" s="1241">
        <v>1</v>
      </c>
      <c r="R39" s="1241">
        <v>0</v>
      </c>
      <c r="S39" s="1241">
        <v>0</v>
      </c>
      <c r="T39" s="1222">
        <f t="shared" si="17"/>
        <v>15</v>
      </c>
      <c r="U39" s="3417"/>
      <c r="V39" s="3405"/>
    </row>
    <row r="40" spans="2:22" ht="12.75" customHeight="1">
      <c r="B40" s="3402" t="s">
        <v>1350</v>
      </c>
      <c r="C40" s="2473" t="s">
        <v>1328</v>
      </c>
      <c r="D40" s="2363">
        <v>2</v>
      </c>
      <c r="E40" s="2363">
        <v>23</v>
      </c>
      <c r="F40" s="2364">
        <v>2</v>
      </c>
      <c r="G40" s="2364">
        <v>35</v>
      </c>
      <c r="H40" s="2364">
        <v>33</v>
      </c>
      <c r="I40" s="2363">
        <v>33</v>
      </c>
      <c r="J40" s="2364">
        <v>13</v>
      </c>
      <c r="K40" s="2186">
        <f t="shared" si="16"/>
        <v>141</v>
      </c>
      <c r="L40" s="2187" t="s">
        <v>1317</v>
      </c>
      <c r="M40" s="1211">
        <v>0</v>
      </c>
      <c r="N40" s="1211">
        <v>16</v>
      </c>
      <c r="O40" s="1211">
        <v>16</v>
      </c>
      <c r="P40" s="1211">
        <v>5</v>
      </c>
      <c r="Q40" s="1211">
        <v>2</v>
      </c>
      <c r="R40" s="1211">
        <v>0</v>
      </c>
      <c r="S40" s="1211">
        <v>0</v>
      </c>
      <c r="T40" s="2188">
        <f t="shared" si="17"/>
        <v>39</v>
      </c>
      <c r="U40" s="3417">
        <f>+K40+K41</f>
        <v>160</v>
      </c>
      <c r="V40" s="3405">
        <f t="shared" ref="V40" si="18">+K40+K41</f>
        <v>160</v>
      </c>
    </row>
    <row r="41" spans="2:22" ht="12.75" customHeight="1">
      <c r="B41" s="3403"/>
      <c r="C41" s="2474" t="s">
        <v>1329</v>
      </c>
      <c r="D41" s="2365">
        <v>1</v>
      </c>
      <c r="E41" s="2365">
        <v>10</v>
      </c>
      <c r="F41" s="2366">
        <v>0</v>
      </c>
      <c r="G41" s="2366">
        <v>0</v>
      </c>
      <c r="H41" s="2366">
        <v>1</v>
      </c>
      <c r="I41" s="2365">
        <v>6</v>
      </c>
      <c r="J41" s="2366">
        <v>1</v>
      </c>
      <c r="K41" s="1226">
        <f t="shared" si="16"/>
        <v>19</v>
      </c>
      <c r="L41" s="1227" t="s">
        <v>1330</v>
      </c>
      <c r="M41" s="1213">
        <v>2</v>
      </c>
      <c r="N41" s="1213">
        <v>29</v>
      </c>
      <c r="O41" s="1213">
        <v>50</v>
      </c>
      <c r="P41" s="1213">
        <v>11</v>
      </c>
      <c r="Q41" s="1213">
        <v>27</v>
      </c>
      <c r="R41" s="1213">
        <v>1</v>
      </c>
      <c r="S41" s="1213">
        <v>1</v>
      </c>
      <c r="T41" s="2191">
        <f t="shared" si="17"/>
        <v>121</v>
      </c>
      <c r="U41" s="3417"/>
      <c r="V41" s="3405"/>
    </row>
    <row r="42" spans="2:22" ht="12.75" customHeight="1">
      <c r="B42" s="3402" t="s">
        <v>1351</v>
      </c>
      <c r="C42" s="2473" t="s">
        <v>1328</v>
      </c>
      <c r="D42" s="2367">
        <v>5</v>
      </c>
      <c r="E42" s="2367">
        <v>11</v>
      </c>
      <c r="F42" s="2368">
        <v>1</v>
      </c>
      <c r="G42" s="2368">
        <v>13</v>
      </c>
      <c r="H42" s="2368">
        <v>5</v>
      </c>
      <c r="I42" s="2367">
        <v>12</v>
      </c>
      <c r="J42" s="2368">
        <v>2</v>
      </c>
      <c r="K42" s="1219">
        <f t="shared" si="16"/>
        <v>49</v>
      </c>
      <c r="L42" s="2187" t="s">
        <v>1317</v>
      </c>
      <c r="M42" s="1211">
        <v>0</v>
      </c>
      <c r="N42" s="1211">
        <v>5</v>
      </c>
      <c r="O42" s="1211">
        <v>4</v>
      </c>
      <c r="P42" s="1211">
        <v>2</v>
      </c>
      <c r="Q42" s="1211">
        <v>2</v>
      </c>
      <c r="R42" s="1211">
        <v>0</v>
      </c>
      <c r="S42" s="1211">
        <v>0</v>
      </c>
      <c r="T42" s="2188">
        <f t="shared" si="17"/>
        <v>13</v>
      </c>
      <c r="U42" s="3417">
        <f>+K42+K43</f>
        <v>72</v>
      </c>
      <c r="V42" s="3405">
        <f t="shared" ref="V42" si="19">+K42+K43</f>
        <v>72</v>
      </c>
    </row>
    <row r="43" spans="2:22" ht="12.75" customHeight="1">
      <c r="B43" s="3403"/>
      <c r="C43" s="2474" t="s">
        <v>1329</v>
      </c>
      <c r="D43" s="2369">
        <v>5</v>
      </c>
      <c r="E43" s="2369">
        <v>15</v>
      </c>
      <c r="F43" s="2370">
        <v>0</v>
      </c>
      <c r="G43" s="2370">
        <v>2</v>
      </c>
      <c r="H43" s="2370">
        <v>0</v>
      </c>
      <c r="I43" s="2369">
        <v>1</v>
      </c>
      <c r="J43" s="2370">
        <v>0</v>
      </c>
      <c r="K43" s="1219">
        <f t="shared" si="16"/>
        <v>23</v>
      </c>
      <c r="L43" s="1227" t="s">
        <v>1330</v>
      </c>
      <c r="M43" s="1213">
        <v>0</v>
      </c>
      <c r="N43" s="1213">
        <v>30</v>
      </c>
      <c r="O43" s="1213">
        <v>23</v>
      </c>
      <c r="P43" s="1213">
        <v>1</v>
      </c>
      <c r="Q43" s="1213">
        <v>3</v>
      </c>
      <c r="R43" s="1213">
        <v>2</v>
      </c>
      <c r="S43" s="1213">
        <v>0</v>
      </c>
      <c r="T43" s="2191">
        <f t="shared" si="17"/>
        <v>59</v>
      </c>
      <c r="U43" s="3417"/>
      <c r="V43" s="3405"/>
    </row>
    <row r="44" spans="2:22" ht="12.75" customHeight="1">
      <c r="B44" s="3402" t="s">
        <v>1352</v>
      </c>
      <c r="C44" s="2473" t="s">
        <v>1328</v>
      </c>
      <c r="D44" s="2371">
        <v>0</v>
      </c>
      <c r="E44" s="2371">
        <v>2</v>
      </c>
      <c r="F44" s="2372">
        <v>0</v>
      </c>
      <c r="G44" s="2372">
        <v>1</v>
      </c>
      <c r="H44" s="2372">
        <v>0</v>
      </c>
      <c r="I44" s="2371">
        <v>0</v>
      </c>
      <c r="J44" s="2372">
        <v>0</v>
      </c>
      <c r="K44" s="2186">
        <f t="shared" si="16"/>
        <v>3</v>
      </c>
      <c r="L44" s="2187" t="s">
        <v>1317</v>
      </c>
      <c r="M44" s="1211">
        <v>0</v>
      </c>
      <c r="N44" s="1211">
        <v>0</v>
      </c>
      <c r="O44" s="1211">
        <v>0</v>
      </c>
      <c r="P44" s="1211">
        <v>0</v>
      </c>
      <c r="Q44" s="1211">
        <v>0</v>
      </c>
      <c r="R44" s="1211">
        <v>0</v>
      </c>
      <c r="S44" s="1211">
        <v>0</v>
      </c>
      <c r="T44" s="2188">
        <f t="shared" si="17"/>
        <v>0</v>
      </c>
      <c r="U44" s="1229"/>
      <c r="V44" s="1228"/>
    </row>
    <row r="45" spans="2:22" ht="12.75" customHeight="1">
      <c r="B45" s="3403"/>
      <c r="C45" s="2474" t="s">
        <v>1329</v>
      </c>
      <c r="D45" s="2373">
        <v>0</v>
      </c>
      <c r="E45" s="2373">
        <v>1</v>
      </c>
      <c r="F45" s="2374">
        <v>0</v>
      </c>
      <c r="G45" s="2374">
        <v>0</v>
      </c>
      <c r="H45" s="2374">
        <v>0</v>
      </c>
      <c r="I45" s="2373">
        <v>0</v>
      </c>
      <c r="J45" s="2374">
        <v>0</v>
      </c>
      <c r="K45" s="1226">
        <f t="shared" si="16"/>
        <v>1</v>
      </c>
      <c r="L45" s="1227" t="s">
        <v>1330</v>
      </c>
      <c r="M45" s="1213">
        <v>0</v>
      </c>
      <c r="N45" s="1213">
        <v>2</v>
      </c>
      <c r="O45" s="1213">
        <v>1</v>
      </c>
      <c r="P45" s="1213">
        <v>1</v>
      </c>
      <c r="Q45" s="1213">
        <v>0</v>
      </c>
      <c r="R45" s="1213">
        <v>0</v>
      </c>
      <c r="S45" s="1213">
        <v>0</v>
      </c>
      <c r="T45" s="2191">
        <f t="shared" si="17"/>
        <v>4</v>
      </c>
      <c r="U45" s="1229"/>
      <c r="V45" s="1228"/>
    </row>
    <row r="46" spans="2:22" ht="12.75" customHeight="1">
      <c r="B46" s="3402" t="s">
        <v>1353</v>
      </c>
      <c r="C46" s="2473" t="s">
        <v>1328</v>
      </c>
      <c r="D46" s="2375">
        <v>0</v>
      </c>
      <c r="E46" s="2375">
        <v>0</v>
      </c>
      <c r="F46" s="2376">
        <v>0</v>
      </c>
      <c r="G46" s="2376">
        <v>0</v>
      </c>
      <c r="H46" s="2376">
        <v>0</v>
      </c>
      <c r="I46" s="2375">
        <v>0</v>
      </c>
      <c r="J46" s="2376">
        <v>0</v>
      </c>
      <c r="K46" s="2186">
        <f t="shared" si="16"/>
        <v>0</v>
      </c>
      <c r="L46" s="2187" t="s">
        <v>1317</v>
      </c>
      <c r="M46" s="1211">
        <v>0</v>
      </c>
      <c r="N46" s="1211">
        <v>0</v>
      </c>
      <c r="O46" s="1211">
        <v>0</v>
      </c>
      <c r="P46" s="1211">
        <v>0</v>
      </c>
      <c r="Q46" s="1211">
        <v>0</v>
      </c>
      <c r="R46" s="1211">
        <v>0</v>
      </c>
      <c r="S46" s="1211">
        <v>0</v>
      </c>
      <c r="T46" s="2188">
        <f t="shared" si="17"/>
        <v>0</v>
      </c>
      <c r="U46" s="3417">
        <f>+K46+K47</f>
        <v>2</v>
      </c>
      <c r="V46" s="3405">
        <f>+T46+T47</f>
        <v>2</v>
      </c>
    </row>
    <row r="47" spans="2:22" ht="12.75" customHeight="1">
      <c r="B47" s="3403"/>
      <c r="C47" s="2474" t="s">
        <v>1329</v>
      </c>
      <c r="D47" s="2377">
        <v>0</v>
      </c>
      <c r="E47" s="2377">
        <v>2</v>
      </c>
      <c r="F47" s="2378">
        <v>0</v>
      </c>
      <c r="G47" s="2378">
        <v>0</v>
      </c>
      <c r="H47" s="2378">
        <v>0</v>
      </c>
      <c r="I47" s="2377">
        <v>0</v>
      </c>
      <c r="J47" s="2378">
        <v>0</v>
      </c>
      <c r="K47" s="1226">
        <f t="shared" si="16"/>
        <v>2</v>
      </c>
      <c r="L47" s="1227" t="s">
        <v>1330</v>
      </c>
      <c r="M47" s="1213">
        <v>0</v>
      </c>
      <c r="N47" s="1213">
        <v>2</v>
      </c>
      <c r="O47" s="1213">
        <v>0</v>
      </c>
      <c r="P47" s="1213">
        <v>0</v>
      </c>
      <c r="Q47" s="1213">
        <v>0</v>
      </c>
      <c r="R47" s="1213">
        <v>0</v>
      </c>
      <c r="S47" s="1213">
        <v>0</v>
      </c>
      <c r="T47" s="2191">
        <f t="shared" si="17"/>
        <v>2</v>
      </c>
      <c r="U47" s="3417"/>
      <c r="V47" s="3405"/>
    </row>
    <row r="48" spans="2:22" ht="12.75" customHeight="1" thickBot="1">
      <c r="B48" s="2476"/>
      <c r="C48" s="2477"/>
      <c r="D48" s="2379"/>
      <c r="E48" s="2380"/>
      <c r="F48" s="2380"/>
      <c r="G48" s="2380"/>
      <c r="H48" s="2380"/>
      <c r="I48" s="2380"/>
      <c r="J48" s="2380"/>
      <c r="K48" s="2380"/>
      <c r="L48" s="2381"/>
      <c r="M48" s="1220"/>
      <c r="N48" s="1233"/>
      <c r="O48" s="1233"/>
      <c r="P48" s="1233"/>
      <c r="Q48" s="1233"/>
      <c r="R48" s="1233"/>
      <c r="S48" s="1233"/>
      <c r="T48" s="1233"/>
      <c r="U48" s="1230"/>
      <c r="V48" s="1215"/>
    </row>
    <row r="49" spans="2:22" ht="12.75" customHeight="1">
      <c r="B49" s="2478" t="s">
        <v>1354</v>
      </c>
      <c r="C49" s="2479"/>
      <c r="D49" s="2382"/>
      <c r="E49" s="2383"/>
      <c r="F49" s="2384"/>
      <c r="G49" s="2384"/>
      <c r="H49" s="2384"/>
      <c r="I49" s="2384"/>
      <c r="J49" s="2238"/>
      <c r="K49" s="2385"/>
      <c r="L49" s="1299"/>
      <c r="M49" s="1235"/>
      <c r="N49" s="1235"/>
      <c r="O49" s="1235"/>
      <c r="P49" s="1235"/>
      <c r="Q49" s="1235"/>
      <c r="R49" s="1235"/>
      <c r="S49" s="1235"/>
      <c r="T49" s="2386"/>
      <c r="U49" s="1236"/>
      <c r="V49" s="1215"/>
    </row>
    <row r="50" spans="2:22" ht="12.75" customHeight="1">
      <c r="B50" s="3408" t="s">
        <v>1355</v>
      </c>
      <c r="C50" s="2472" t="s">
        <v>1328</v>
      </c>
      <c r="D50" s="2387">
        <v>12</v>
      </c>
      <c r="E50" s="2387">
        <v>21</v>
      </c>
      <c r="F50" s="2388">
        <v>1</v>
      </c>
      <c r="G50" s="2388">
        <v>68</v>
      </c>
      <c r="H50" s="2388">
        <v>81</v>
      </c>
      <c r="I50" s="2387">
        <v>40</v>
      </c>
      <c r="J50" s="2388">
        <v>3</v>
      </c>
      <c r="K50" s="1219">
        <f t="shared" ref="K50:K53" si="20">SUM(D50:J50)</f>
        <v>226</v>
      </c>
      <c r="L50" s="1220" t="s">
        <v>1317</v>
      </c>
      <c r="M50" s="1241">
        <v>0</v>
      </c>
      <c r="N50" s="1241">
        <v>12</v>
      </c>
      <c r="O50" s="1241">
        <v>26</v>
      </c>
      <c r="P50" s="1241">
        <v>5</v>
      </c>
      <c r="Q50" s="1241">
        <v>3</v>
      </c>
      <c r="R50" s="1241">
        <v>0</v>
      </c>
      <c r="S50" s="1241">
        <v>0</v>
      </c>
      <c r="T50" s="1222">
        <f t="shared" ref="T50:T53" si="21">SUM(M50:S50)</f>
        <v>46</v>
      </c>
      <c r="U50" s="3417">
        <f>+K50+K51</f>
        <v>260</v>
      </c>
      <c r="V50" s="3405">
        <f>+K50+K51</f>
        <v>260</v>
      </c>
    </row>
    <row r="51" spans="2:22" ht="12.75" customHeight="1">
      <c r="B51" s="3403"/>
      <c r="C51" s="2474" t="s">
        <v>1329</v>
      </c>
      <c r="D51" s="2389">
        <v>4</v>
      </c>
      <c r="E51" s="2389">
        <v>16</v>
      </c>
      <c r="F51" s="2390">
        <v>0</v>
      </c>
      <c r="G51" s="2390">
        <v>6</v>
      </c>
      <c r="H51" s="2390">
        <v>1</v>
      </c>
      <c r="I51" s="2389">
        <v>6</v>
      </c>
      <c r="J51" s="2390">
        <v>1</v>
      </c>
      <c r="K51" s="1226">
        <f t="shared" si="20"/>
        <v>34</v>
      </c>
      <c r="L51" s="1227" t="s">
        <v>1330</v>
      </c>
      <c r="M51" s="1213">
        <v>1</v>
      </c>
      <c r="N51" s="1213">
        <v>40</v>
      </c>
      <c r="O51" s="1213">
        <v>119</v>
      </c>
      <c r="P51" s="1213">
        <v>28</v>
      </c>
      <c r="Q51" s="1213">
        <v>26</v>
      </c>
      <c r="R51" s="1213">
        <v>0</v>
      </c>
      <c r="S51" s="1213">
        <v>0</v>
      </c>
      <c r="T51" s="2191">
        <f t="shared" si="21"/>
        <v>214</v>
      </c>
      <c r="U51" s="3417"/>
      <c r="V51" s="3405"/>
    </row>
    <row r="52" spans="2:22" ht="12.75" customHeight="1">
      <c r="B52" s="3402" t="s">
        <v>1356</v>
      </c>
      <c r="C52" s="2473" t="s">
        <v>1328</v>
      </c>
      <c r="D52" s="2391">
        <v>0</v>
      </c>
      <c r="E52" s="2391">
        <v>12</v>
      </c>
      <c r="F52" s="2392">
        <v>0</v>
      </c>
      <c r="G52" s="2392">
        <v>15</v>
      </c>
      <c r="H52" s="2392">
        <v>4</v>
      </c>
      <c r="I52" s="2391">
        <v>20</v>
      </c>
      <c r="J52" s="2392">
        <v>0</v>
      </c>
      <c r="K52" s="2186">
        <f t="shared" si="20"/>
        <v>51</v>
      </c>
      <c r="L52" s="2187" t="s">
        <v>1317</v>
      </c>
      <c r="M52" s="1211">
        <v>0</v>
      </c>
      <c r="N52" s="1211">
        <v>1</v>
      </c>
      <c r="O52" s="1211">
        <v>14</v>
      </c>
      <c r="P52" s="1211">
        <v>5</v>
      </c>
      <c r="Q52" s="1211">
        <v>1</v>
      </c>
      <c r="R52" s="1211">
        <v>0</v>
      </c>
      <c r="S52" s="1211">
        <v>0</v>
      </c>
      <c r="T52" s="2188">
        <f t="shared" si="21"/>
        <v>21</v>
      </c>
      <c r="U52" s="3417">
        <f>+K52+K53</f>
        <v>56</v>
      </c>
      <c r="V52" s="3405">
        <f t="shared" ref="V52" si="22">+K52+K53</f>
        <v>56</v>
      </c>
    </row>
    <row r="53" spans="2:22" ht="12.75" customHeight="1">
      <c r="B53" s="3403"/>
      <c r="C53" s="2474" t="s">
        <v>1329</v>
      </c>
      <c r="D53" s="2393">
        <v>0</v>
      </c>
      <c r="E53" s="2393">
        <v>3</v>
      </c>
      <c r="F53" s="2394">
        <v>0</v>
      </c>
      <c r="G53" s="2394">
        <v>1</v>
      </c>
      <c r="H53" s="2394">
        <v>0</v>
      </c>
      <c r="I53" s="2393">
        <v>1</v>
      </c>
      <c r="J53" s="2394">
        <v>0</v>
      </c>
      <c r="K53" s="1226">
        <f t="shared" si="20"/>
        <v>5</v>
      </c>
      <c r="L53" s="1227" t="s">
        <v>1330</v>
      </c>
      <c r="M53" s="1213">
        <v>1</v>
      </c>
      <c r="N53" s="1213">
        <v>11</v>
      </c>
      <c r="O53" s="1213">
        <v>22</v>
      </c>
      <c r="P53" s="1213">
        <v>1</v>
      </c>
      <c r="Q53" s="1213">
        <v>0</v>
      </c>
      <c r="R53" s="1213">
        <v>0</v>
      </c>
      <c r="S53" s="1213">
        <v>0</v>
      </c>
      <c r="T53" s="2191">
        <f t="shared" si="21"/>
        <v>35</v>
      </c>
      <c r="U53" s="3417"/>
      <c r="V53" s="3405"/>
    </row>
    <row r="54" spans="2:22" ht="12.75" hidden="1" customHeight="1">
      <c r="B54" s="3402"/>
      <c r="C54" s="2473"/>
      <c r="D54" s="2309"/>
      <c r="E54" s="2226"/>
      <c r="F54" s="2310"/>
      <c r="G54" s="2310"/>
      <c r="H54" s="2310"/>
      <c r="I54" s="2310"/>
      <c r="J54" s="2395"/>
      <c r="K54" s="2186"/>
      <c r="L54" s="2187"/>
      <c r="M54" s="1211"/>
      <c r="N54" s="1211"/>
      <c r="O54" s="1211"/>
      <c r="P54" s="1211"/>
      <c r="Q54" s="1211"/>
      <c r="R54" s="1211"/>
      <c r="S54" s="1211"/>
      <c r="T54" s="2188"/>
      <c r="U54" s="3417">
        <f>+K54+K55</f>
        <v>0</v>
      </c>
      <c r="V54" s="3405">
        <f t="shared" ref="V54" si="23">+K54+K55</f>
        <v>0</v>
      </c>
    </row>
    <row r="55" spans="2:22" ht="12.75" hidden="1" customHeight="1">
      <c r="B55" s="3403"/>
      <c r="C55" s="2474"/>
      <c r="D55" s="2250"/>
      <c r="E55" s="2227"/>
      <c r="F55" s="2257"/>
      <c r="G55" s="2257"/>
      <c r="H55" s="2257"/>
      <c r="I55" s="2257"/>
      <c r="J55" s="2329"/>
      <c r="K55" s="1226"/>
      <c r="L55" s="1227"/>
      <c r="M55" s="1213"/>
      <c r="N55" s="1213"/>
      <c r="O55" s="1213"/>
      <c r="P55" s="1213"/>
      <c r="Q55" s="1213"/>
      <c r="R55" s="1213"/>
      <c r="S55" s="1213"/>
      <c r="T55" s="2191"/>
      <c r="U55" s="3417"/>
      <c r="V55" s="3405"/>
    </row>
    <row r="56" spans="2:22" ht="12.75" customHeight="1">
      <c r="B56" s="3402" t="s">
        <v>1357</v>
      </c>
      <c r="C56" s="2472" t="s">
        <v>1328</v>
      </c>
      <c r="D56" s="2396">
        <v>2</v>
      </c>
      <c r="E56" s="2396">
        <v>3</v>
      </c>
      <c r="F56" s="2397">
        <v>0</v>
      </c>
      <c r="G56" s="2397">
        <v>3</v>
      </c>
      <c r="H56" s="2397">
        <v>0</v>
      </c>
      <c r="I56" s="2396">
        <v>1</v>
      </c>
      <c r="J56" s="2397">
        <v>0</v>
      </c>
      <c r="K56" s="1219">
        <f>SUM(D56:J56)</f>
        <v>9</v>
      </c>
      <c r="L56" s="1220" t="s">
        <v>1317</v>
      </c>
      <c r="M56" s="1241">
        <v>0</v>
      </c>
      <c r="N56" s="1241">
        <v>1</v>
      </c>
      <c r="O56" s="1241">
        <v>0</v>
      </c>
      <c r="P56" s="1241">
        <v>0</v>
      </c>
      <c r="Q56" s="1241">
        <v>0</v>
      </c>
      <c r="R56" s="1241">
        <v>0</v>
      </c>
      <c r="S56" s="1241">
        <v>0</v>
      </c>
      <c r="T56" s="1222">
        <f>SUM(M56:S56)</f>
        <v>1</v>
      </c>
      <c r="U56" s="3417">
        <f>+K56+K57</f>
        <v>12</v>
      </c>
      <c r="V56" s="3405">
        <f t="shared" ref="V56" si="24">+K56+K57</f>
        <v>12</v>
      </c>
    </row>
    <row r="57" spans="2:22" ht="12.75" customHeight="1" thickBot="1">
      <c r="B57" s="3408"/>
      <c r="C57" s="2472" t="s">
        <v>1329</v>
      </c>
      <c r="D57" s="2398">
        <v>3</v>
      </c>
      <c r="E57" s="2398">
        <v>0</v>
      </c>
      <c r="F57" s="2399">
        <v>0</v>
      </c>
      <c r="G57" s="2399">
        <v>0</v>
      </c>
      <c r="H57" s="2399">
        <v>0</v>
      </c>
      <c r="I57" s="2398">
        <v>0</v>
      </c>
      <c r="J57" s="2399">
        <v>0</v>
      </c>
      <c r="K57" s="1219">
        <f>SUM(D57:J57)</f>
        <v>3</v>
      </c>
      <c r="L57" s="1220" t="s">
        <v>1330</v>
      </c>
      <c r="M57" s="1241">
        <v>1</v>
      </c>
      <c r="N57" s="1241">
        <v>7</v>
      </c>
      <c r="O57" s="1241">
        <v>3</v>
      </c>
      <c r="P57" s="1241">
        <v>0</v>
      </c>
      <c r="Q57" s="1241">
        <v>0</v>
      </c>
      <c r="R57" s="1241">
        <v>0</v>
      </c>
      <c r="S57" s="1241">
        <v>0</v>
      </c>
      <c r="T57" s="1222">
        <f>SUM(M57:S57)</f>
        <v>11</v>
      </c>
      <c r="U57" s="3417"/>
      <c r="V57" s="3405"/>
    </row>
    <row r="58" spans="2:22" ht="12.75" customHeight="1">
      <c r="B58" s="2478" t="s">
        <v>1358</v>
      </c>
      <c r="C58" s="2479"/>
      <c r="D58" s="2244"/>
      <c r="E58" s="2400"/>
      <c r="F58" s="2401"/>
      <c r="G58" s="2401"/>
      <c r="H58" s="2401"/>
      <c r="I58" s="2401"/>
      <c r="J58" s="2402"/>
      <c r="K58" s="2179"/>
      <c r="L58" s="1299"/>
      <c r="M58" s="1237"/>
      <c r="N58" s="1237"/>
      <c r="O58" s="1237"/>
      <c r="P58" s="1237"/>
      <c r="Q58" s="1237"/>
      <c r="R58" s="1237"/>
      <c r="S58" s="1237"/>
      <c r="T58" s="2181"/>
      <c r="U58" s="1236"/>
      <c r="V58" s="1215"/>
    </row>
    <row r="59" spans="2:22" ht="12.75" customHeight="1">
      <c r="B59" s="3408" t="s">
        <v>1359</v>
      </c>
      <c r="C59" s="2472" t="s">
        <v>1328</v>
      </c>
      <c r="D59" s="2403">
        <v>0</v>
      </c>
      <c r="E59" s="2403">
        <v>2</v>
      </c>
      <c r="F59" s="2404">
        <v>0</v>
      </c>
      <c r="G59" s="2404">
        <v>0</v>
      </c>
      <c r="H59" s="2404">
        <v>0</v>
      </c>
      <c r="I59" s="2403">
        <v>0</v>
      </c>
      <c r="J59" s="2404">
        <v>0</v>
      </c>
      <c r="K59" s="1219">
        <f t="shared" ref="K59:K66" si="25">SUM(D59:J59)</f>
        <v>2</v>
      </c>
      <c r="L59" s="1220" t="s">
        <v>1317</v>
      </c>
      <c r="M59" s="1241">
        <v>0</v>
      </c>
      <c r="N59" s="1241">
        <v>0</v>
      </c>
      <c r="O59" s="1241">
        <v>0</v>
      </c>
      <c r="P59" s="1241">
        <v>0</v>
      </c>
      <c r="Q59" s="1241">
        <v>0</v>
      </c>
      <c r="R59" s="1241">
        <v>0</v>
      </c>
      <c r="S59" s="1241">
        <v>0</v>
      </c>
      <c r="T59" s="1222">
        <f t="shared" ref="T59:T68" si="26">SUM(M59:S59)</f>
        <v>0</v>
      </c>
      <c r="U59" s="1236">
        <f>+K59+K60</f>
        <v>4</v>
      </c>
      <c r="V59" s="1215">
        <f>+T59+T60</f>
        <v>4</v>
      </c>
    </row>
    <row r="60" spans="2:22" ht="12.75" customHeight="1">
      <c r="B60" s="3403"/>
      <c r="C60" s="2474" t="s">
        <v>1329</v>
      </c>
      <c r="D60" s="2405">
        <v>0</v>
      </c>
      <c r="E60" s="2405">
        <v>2</v>
      </c>
      <c r="F60" s="2406">
        <v>0</v>
      </c>
      <c r="G60" s="2406">
        <v>0</v>
      </c>
      <c r="H60" s="2406">
        <v>0</v>
      </c>
      <c r="I60" s="2405">
        <v>0</v>
      </c>
      <c r="J60" s="2406">
        <v>0</v>
      </c>
      <c r="K60" s="1226">
        <f t="shared" si="25"/>
        <v>2</v>
      </c>
      <c r="L60" s="1227" t="s">
        <v>1330</v>
      </c>
      <c r="M60" s="1213">
        <v>0</v>
      </c>
      <c r="N60" s="1213">
        <v>4</v>
      </c>
      <c r="O60" s="1213">
        <v>0</v>
      </c>
      <c r="P60" s="1213">
        <v>0</v>
      </c>
      <c r="Q60" s="1213">
        <v>0</v>
      </c>
      <c r="R60" s="1213">
        <v>0</v>
      </c>
      <c r="S60" s="1213">
        <v>0</v>
      </c>
      <c r="T60" s="2191">
        <f t="shared" si="26"/>
        <v>4</v>
      </c>
      <c r="U60" s="1236"/>
      <c r="V60" s="1215"/>
    </row>
    <row r="61" spans="2:22" ht="12.75" hidden="1" customHeight="1">
      <c r="B61" s="3419" t="s">
        <v>1360</v>
      </c>
      <c r="C61" s="2472" t="s">
        <v>1328</v>
      </c>
      <c r="D61" s="2407"/>
      <c r="E61" s="2407"/>
      <c r="F61" s="2408"/>
      <c r="G61" s="2408"/>
      <c r="H61" s="2408"/>
      <c r="I61" s="2407"/>
      <c r="J61" s="2408"/>
      <c r="K61" s="1219">
        <f t="shared" si="25"/>
        <v>0</v>
      </c>
      <c r="L61" s="1220" t="s">
        <v>1317</v>
      </c>
      <c r="M61" s="1241"/>
      <c r="N61" s="1241"/>
      <c r="O61" s="1241"/>
      <c r="P61" s="1241"/>
      <c r="Q61" s="1241"/>
      <c r="R61" s="1241"/>
      <c r="S61" s="1241"/>
      <c r="T61" s="1222">
        <f t="shared" si="26"/>
        <v>0</v>
      </c>
      <c r="U61" s="3417">
        <f>+K61+K62</f>
        <v>0</v>
      </c>
      <c r="V61" s="3405">
        <f>+T61+T62</f>
        <v>0</v>
      </c>
    </row>
    <row r="62" spans="2:22" ht="12.75" hidden="1" customHeight="1">
      <c r="B62" s="3419"/>
      <c r="C62" s="2472" t="s">
        <v>1329</v>
      </c>
      <c r="D62" s="2409"/>
      <c r="E62" s="2409"/>
      <c r="F62" s="2410"/>
      <c r="G62" s="2410"/>
      <c r="H62" s="2410"/>
      <c r="I62" s="2409"/>
      <c r="J62" s="2410"/>
      <c r="K62" s="1219">
        <f t="shared" si="25"/>
        <v>0</v>
      </c>
      <c r="L62" s="1220" t="s">
        <v>1330</v>
      </c>
      <c r="M62" s="1241"/>
      <c r="N62" s="1241"/>
      <c r="O62" s="1241"/>
      <c r="P62" s="1241"/>
      <c r="Q62" s="1241"/>
      <c r="R62" s="1241"/>
      <c r="S62" s="1241"/>
      <c r="T62" s="1222">
        <f t="shared" si="26"/>
        <v>0</v>
      </c>
      <c r="U62" s="3417"/>
      <c r="V62" s="3405"/>
    </row>
    <row r="63" spans="2:22" ht="12.75" customHeight="1">
      <c r="B63" s="3402" t="s">
        <v>1361</v>
      </c>
      <c r="C63" s="2473" t="s">
        <v>1328</v>
      </c>
      <c r="D63" s="2411">
        <v>5</v>
      </c>
      <c r="E63" s="2411">
        <v>8</v>
      </c>
      <c r="F63" s="2412">
        <v>0</v>
      </c>
      <c r="G63" s="2412">
        <v>3</v>
      </c>
      <c r="H63" s="2412">
        <v>1</v>
      </c>
      <c r="I63" s="2411">
        <v>17</v>
      </c>
      <c r="J63" s="2412">
        <v>7</v>
      </c>
      <c r="K63" s="2186">
        <f t="shared" si="25"/>
        <v>41</v>
      </c>
      <c r="L63" s="2187" t="s">
        <v>1317</v>
      </c>
      <c r="M63" s="1211">
        <v>0</v>
      </c>
      <c r="N63" s="1211">
        <v>5</v>
      </c>
      <c r="O63" s="1211">
        <v>11</v>
      </c>
      <c r="P63" s="1211">
        <v>1</v>
      </c>
      <c r="Q63" s="1211">
        <v>0</v>
      </c>
      <c r="R63" s="1211">
        <v>0</v>
      </c>
      <c r="S63" s="1211">
        <v>0</v>
      </c>
      <c r="T63" s="2188">
        <f t="shared" si="26"/>
        <v>17</v>
      </c>
      <c r="U63" s="3417">
        <f>+K63+K64</f>
        <v>48</v>
      </c>
      <c r="V63" s="3405">
        <f>+T63+T64</f>
        <v>48</v>
      </c>
    </row>
    <row r="64" spans="2:22" ht="12.75" customHeight="1">
      <c r="B64" s="3403"/>
      <c r="C64" s="2474" t="s">
        <v>1329</v>
      </c>
      <c r="D64" s="2413">
        <v>3</v>
      </c>
      <c r="E64" s="2413">
        <v>3</v>
      </c>
      <c r="F64" s="2414">
        <v>1</v>
      </c>
      <c r="G64" s="2414">
        <v>0</v>
      </c>
      <c r="H64" s="2414">
        <v>0</v>
      </c>
      <c r="I64" s="2413">
        <v>0</v>
      </c>
      <c r="J64" s="2414">
        <v>0</v>
      </c>
      <c r="K64" s="1226">
        <f t="shared" si="25"/>
        <v>7</v>
      </c>
      <c r="L64" s="1227" t="s">
        <v>1330</v>
      </c>
      <c r="M64" s="1213">
        <v>0</v>
      </c>
      <c r="N64" s="1213">
        <v>13</v>
      </c>
      <c r="O64" s="1213">
        <v>15</v>
      </c>
      <c r="P64" s="1213">
        <v>3</v>
      </c>
      <c r="Q64" s="1213">
        <v>0</v>
      </c>
      <c r="R64" s="1213">
        <v>0</v>
      </c>
      <c r="S64" s="1213">
        <v>0</v>
      </c>
      <c r="T64" s="2191">
        <f t="shared" si="26"/>
        <v>31</v>
      </c>
      <c r="U64" s="3417"/>
      <c r="V64" s="3405"/>
    </row>
    <row r="65" spans="1:22" ht="12.75" customHeight="1">
      <c r="B65" s="3410" t="s">
        <v>1362</v>
      </c>
      <c r="C65" s="2472" t="s">
        <v>1328</v>
      </c>
      <c r="D65" s="2415">
        <v>1</v>
      </c>
      <c r="E65" s="2415">
        <v>1</v>
      </c>
      <c r="F65" s="2416">
        <v>0</v>
      </c>
      <c r="G65" s="2416">
        <v>5</v>
      </c>
      <c r="H65" s="2416">
        <v>0</v>
      </c>
      <c r="I65" s="2415">
        <v>2</v>
      </c>
      <c r="J65" s="2416">
        <v>0</v>
      </c>
      <c r="K65" s="2186">
        <f t="shared" si="25"/>
        <v>9</v>
      </c>
      <c r="L65" s="1220" t="s">
        <v>1317</v>
      </c>
      <c r="M65" s="1241">
        <v>0</v>
      </c>
      <c r="N65" s="1241">
        <v>0</v>
      </c>
      <c r="O65" s="1241">
        <v>2</v>
      </c>
      <c r="P65" s="1241">
        <v>0</v>
      </c>
      <c r="Q65" s="1241">
        <v>0</v>
      </c>
      <c r="R65" s="1241">
        <v>0</v>
      </c>
      <c r="S65" s="1241">
        <v>0</v>
      </c>
      <c r="T65" s="2188">
        <f t="shared" si="26"/>
        <v>2</v>
      </c>
      <c r="U65" s="3417">
        <f>+K65+K66</f>
        <v>20</v>
      </c>
      <c r="V65" s="3405">
        <f>+T65+T66</f>
        <v>20</v>
      </c>
    </row>
    <row r="66" spans="1:22" ht="12.75" customHeight="1">
      <c r="B66" s="3411"/>
      <c r="C66" s="2472" t="s">
        <v>1329</v>
      </c>
      <c r="D66" s="2417">
        <v>0</v>
      </c>
      <c r="E66" s="2417">
        <v>8</v>
      </c>
      <c r="F66" s="2418">
        <v>0</v>
      </c>
      <c r="G66" s="2418">
        <v>3</v>
      </c>
      <c r="H66" s="2418">
        <v>0</v>
      </c>
      <c r="I66" s="2417">
        <v>0</v>
      </c>
      <c r="J66" s="2418">
        <v>0</v>
      </c>
      <c r="K66" s="1226">
        <f t="shared" si="25"/>
        <v>11</v>
      </c>
      <c r="L66" s="1220" t="s">
        <v>1330</v>
      </c>
      <c r="M66" s="1241">
        <v>0</v>
      </c>
      <c r="N66" s="1241">
        <v>11</v>
      </c>
      <c r="O66" s="1241">
        <v>7</v>
      </c>
      <c r="P66" s="1241">
        <v>0</v>
      </c>
      <c r="Q66" s="1241">
        <v>0</v>
      </c>
      <c r="R66" s="1241">
        <v>0</v>
      </c>
      <c r="S66" s="1241">
        <v>0</v>
      </c>
      <c r="T66" s="2191">
        <f t="shared" si="26"/>
        <v>18</v>
      </c>
      <c r="U66" s="3417"/>
      <c r="V66" s="3405"/>
    </row>
    <row r="67" spans="1:22" ht="12.75" customHeight="1">
      <c r="B67" s="3402" t="s">
        <v>1363</v>
      </c>
      <c r="C67" s="2473" t="s">
        <v>1328</v>
      </c>
      <c r="D67" s="2419">
        <v>0</v>
      </c>
      <c r="E67" s="2419">
        <v>2</v>
      </c>
      <c r="F67" s="2420">
        <v>0</v>
      </c>
      <c r="G67" s="2420">
        <v>3</v>
      </c>
      <c r="H67" s="2420">
        <v>1</v>
      </c>
      <c r="I67" s="2419">
        <v>4</v>
      </c>
      <c r="J67" s="2420">
        <v>0</v>
      </c>
      <c r="K67" s="1219">
        <f>SUM(D67:J67)</f>
        <v>10</v>
      </c>
      <c r="L67" s="2187" t="s">
        <v>1317</v>
      </c>
      <c r="M67" s="1211">
        <v>0</v>
      </c>
      <c r="N67" s="1211">
        <v>5</v>
      </c>
      <c r="O67" s="1211">
        <v>3</v>
      </c>
      <c r="P67" s="1211">
        <v>0</v>
      </c>
      <c r="Q67" s="1211">
        <v>1</v>
      </c>
      <c r="R67" s="1211">
        <v>0</v>
      </c>
      <c r="S67" s="1211">
        <v>0</v>
      </c>
      <c r="T67" s="2188">
        <f t="shared" si="26"/>
        <v>9</v>
      </c>
      <c r="U67" s="3417">
        <f>+K67+K68</f>
        <v>24</v>
      </c>
      <c r="V67" s="3405">
        <f>+T67+T68</f>
        <v>24</v>
      </c>
    </row>
    <row r="68" spans="1:22" ht="12.75" customHeight="1" thickBot="1">
      <c r="B68" s="3418"/>
      <c r="C68" s="2480" t="s">
        <v>1329</v>
      </c>
      <c r="D68" s="2421">
        <v>1</v>
      </c>
      <c r="E68" s="2421">
        <v>6</v>
      </c>
      <c r="F68" s="2422">
        <v>0</v>
      </c>
      <c r="G68" s="2422">
        <v>2</v>
      </c>
      <c r="H68" s="2422">
        <v>0</v>
      </c>
      <c r="I68" s="2421">
        <v>5</v>
      </c>
      <c r="J68" s="2422">
        <v>0</v>
      </c>
      <c r="K68" s="1219">
        <f>SUM(D68:J68)</f>
        <v>14</v>
      </c>
      <c r="L68" s="1305" t="s">
        <v>1330</v>
      </c>
      <c r="M68" s="2348">
        <v>1</v>
      </c>
      <c r="N68" s="2348">
        <v>7</v>
      </c>
      <c r="O68" s="2348">
        <v>4</v>
      </c>
      <c r="P68" s="2348">
        <v>2</v>
      </c>
      <c r="Q68" s="2348">
        <v>1</v>
      </c>
      <c r="R68" s="2348">
        <v>0</v>
      </c>
      <c r="S68" s="2348">
        <v>0</v>
      </c>
      <c r="T68" s="2228">
        <f t="shared" si="26"/>
        <v>15</v>
      </c>
      <c r="U68" s="3417"/>
      <c r="V68" s="3405"/>
    </row>
    <row r="69" spans="1:22" ht="12.75" customHeight="1">
      <c r="B69" s="2481" t="s">
        <v>1364</v>
      </c>
      <c r="C69" s="2479"/>
      <c r="D69" s="2244"/>
      <c r="E69" s="2400"/>
      <c r="F69" s="2401"/>
      <c r="G69" s="2401"/>
      <c r="H69" s="2401"/>
      <c r="I69" s="2401"/>
      <c r="J69" s="2402"/>
      <c r="K69" s="2179"/>
      <c r="L69" s="2400"/>
      <c r="M69" s="1237"/>
      <c r="N69" s="1237"/>
      <c r="O69" s="1237"/>
      <c r="P69" s="1237"/>
      <c r="Q69" s="1237"/>
      <c r="R69" s="1237"/>
      <c r="S69" s="1237"/>
      <c r="T69" s="2423"/>
      <c r="U69" s="1238"/>
      <c r="V69" s="1215"/>
    </row>
    <row r="70" spans="1:22" ht="12.75" customHeight="1">
      <c r="B70" s="3421" t="s">
        <v>1365</v>
      </c>
      <c r="C70" s="2472" t="s">
        <v>1328</v>
      </c>
      <c r="D70" s="2424">
        <v>2</v>
      </c>
      <c r="E70" s="2424">
        <v>111</v>
      </c>
      <c r="F70" s="2425">
        <v>0</v>
      </c>
      <c r="G70" s="2425">
        <v>1</v>
      </c>
      <c r="H70" s="2425">
        <v>2</v>
      </c>
      <c r="I70" s="2424">
        <v>7</v>
      </c>
      <c r="J70" s="2425">
        <v>0</v>
      </c>
      <c r="K70" s="1219">
        <f t="shared" ref="K70:K73" si="27">SUM(D70:J70)</f>
        <v>123</v>
      </c>
      <c r="L70" s="2252" t="s">
        <v>1317</v>
      </c>
      <c r="M70" s="1241">
        <v>0</v>
      </c>
      <c r="N70" s="1241">
        <v>3</v>
      </c>
      <c r="O70" s="1241">
        <v>6</v>
      </c>
      <c r="P70" s="1241">
        <v>0</v>
      </c>
      <c r="Q70" s="1241">
        <v>0</v>
      </c>
      <c r="R70" s="1241">
        <v>0</v>
      </c>
      <c r="S70" s="1241">
        <v>0</v>
      </c>
      <c r="T70" s="2426">
        <f>SUM(M70:S70)</f>
        <v>9</v>
      </c>
      <c r="U70" s="3423">
        <f>+T70+T71</f>
        <v>127</v>
      </c>
      <c r="V70" s="3405">
        <f>+T70+T71</f>
        <v>127</v>
      </c>
    </row>
    <row r="71" spans="1:22" ht="12.75" customHeight="1">
      <c r="B71" s="3422"/>
      <c r="C71" s="2474" t="s">
        <v>1329</v>
      </c>
      <c r="D71" s="2427">
        <v>2</v>
      </c>
      <c r="E71" s="2427">
        <v>0</v>
      </c>
      <c r="F71" s="2428">
        <v>0</v>
      </c>
      <c r="G71" s="2428">
        <v>0</v>
      </c>
      <c r="H71" s="2428">
        <v>0</v>
      </c>
      <c r="I71" s="2427">
        <v>2</v>
      </c>
      <c r="J71" s="2428">
        <v>0</v>
      </c>
      <c r="K71" s="1226">
        <f t="shared" si="27"/>
        <v>4</v>
      </c>
      <c r="L71" s="2227" t="s">
        <v>1330</v>
      </c>
      <c r="M71" s="1213">
        <v>0</v>
      </c>
      <c r="N71" s="1213">
        <v>19</v>
      </c>
      <c r="O71" s="1213">
        <v>97</v>
      </c>
      <c r="P71" s="1213">
        <v>2</v>
      </c>
      <c r="Q71" s="1213">
        <v>0</v>
      </c>
      <c r="R71" s="1213">
        <v>0</v>
      </c>
      <c r="S71" s="1213">
        <v>0</v>
      </c>
      <c r="T71" s="2429">
        <f>SUM(M71:S71)</f>
        <v>118</v>
      </c>
      <c r="U71" s="3423"/>
      <c r="V71" s="3405"/>
    </row>
    <row r="72" spans="1:22" ht="12.75" customHeight="1">
      <c r="B72" s="3410" t="s">
        <v>1366</v>
      </c>
      <c r="C72" s="2473" t="s">
        <v>1328</v>
      </c>
      <c r="D72" s="2430">
        <v>0</v>
      </c>
      <c r="E72" s="2430">
        <v>24</v>
      </c>
      <c r="F72" s="2431">
        <v>0</v>
      </c>
      <c r="G72" s="2431">
        <v>3</v>
      </c>
      <c r="H72" s="2431">
        <v>3</v>
      </c>
      <c r="I72" s="2430">
        <v>12</v>
      </c>
      <c r="J72" s="2431">
        <v>0</v>
      </c>
      <c r="K72" s="2186">
        <f t="shared" si="27"/>
        <v>42</v>
      </c>
      <c r="L72" s="2187" t="s">
        <v>1317</v>
      </c>
      <c r="M72" s="1211">
        <v>1</v>
      </c>
      <c r="N72" s="1211">
        <v>8</v>
      </c>
      <c r="O72" s="1211">
        <v>6</v>
      </c>
      <c r="P72" s="1211">
        <v>1</v>
      </c>
      <c r="Q72" s="1211">
        <v>0</v>
      </c>
      <c r="R72" s="1211">
        <v>1</v>
      </c>
      <c r="S72" s="1211">
        <v>0</v>
      </c>
      <c r="T72" s="2188">
        <f t="shared" ref="T72:T73" si="28">SUM(M72:S72)</f>
        <v>17</v>
      </c>
      <c r="U72" s="1239"/>
      <c r="V72" s="1228"/>
    </row>
    <row r="73" spans="1:22" ht="12.75" customHeight="1">
      <c r="B73" s="3411"/>
      <c r="C73" s="2474" t="s">
        <v>1329</v>
      </c>
      <c r="D73" s="2432">
        <v>0</v>
      </c>
      <c r="E73" s="2432">
        <v>7</v>
      </c>
      <c r="F73" s="2433">
        <v>0</v>
      </c>
      <c r="G73" s="2433">
        <v>2</v>
      </c>
      <c r="H73" s="2433">
        <v>0</v>
      </c>
      <c r="I73" s="2432">
        <v>5</v>
      </c>
      <c r="J73" s="2433">
        <v>0</v>
      </c>
      <c r="K73" s="1226">
        <f t="shared" si="27"/>
        <v>14</v>
      </c>
      <c r="L73" s="1227" t="s">
        <v>1330</v>
      </c>
      <c r="M73" s="1213">
        <v>2</v>
      </c>
      <c r="N73" s="1213">
        <v>15</v>
      </c>
      <c r="O73" s="1213">
        <v>20</v>
      </c>
      <c r="P73" s="1213">
        <v>2</v>
      </c>
      <c r="Q73" s="1213">
        <v>0</v>
      </c>
      <c r="R73" s="1213">
        <v>0</v>
      </c>
      <c r="S73" s="1213">
        <v>0</v>
      </c>
      <c r="T73" s="2191">
        <f t="shared" si="28"/>
        <v>39</v>
      </c>
      <c r="U73" s="1239">
        <f>+T72+T73</f>
        <v>56</v>
      </c>
      <c r="V73" s="1228">
        <f>+K72+K73</f>
        <v>56</v>
      </c>
    </row>
    <row r="74" spans="1:22" ht="12.75" customHeight="1">
      <c r="B74" s="3408" t="s">
        <v>1367</v>
      </c>
      <c r="C74" s="2472" t="s">
        <v>1328</v>
      </c>
      <c r="D74" s="2434">
        <v>0</v>
      </c>
      <c r="E74" s="2434">
        <v>3</v>
      </c>
      <c r="F74" s="2435">
        <v>0</v>
      </c>
      <c r="G74" s="2435">
        <v>0</v>
      </c>
      <c r="H74" s="2435">
        <v>0</v>
      </c>
      <c r="I74" s="2434">
        <v>2</v>
      </c>
      <c r="J74" s="2435">
        <v>1</v>
      </c>
      <c r="K74" s="1219">
        <f>SUM(D74:J74)</f>
        <v>6</v>
      </c>
      <c r="L74" s="1220" t="s">
        <v>1317</v>
      </c>
      <c r="M74" s="1241">
        <v>0</v>
      </c>
      <c r="N74" s="1241">
        <v>0</v>
      </c>
      <c r="O74" s="1241">
        <v>2</v>
      </c>
      <c r="P74" s="1241">
        <v>0</v>
      </c>
      <c r="Q74" s="1241">
        <v>0</v>
      </c>
      <c r="R74" s="1241">
        <v>0</v>
      </c>
      <c r="S74" s="1241">
        <v>0</v>
      </c>
      <c r="T74" s="1222">
        <f>SUM(M74:S74)</f>
        <v>2</v>
      </c>
      <c r="U74" s="3423">
        <f>+T74+T75</f>
        <v>6</v>
      </c>
      <c r="V74" s="3405">
        <f>+T74+T75</f>
        <v>6</v>
      </c>
    </row>
    <row r="75" spans="1:22" ht="12.75" customHeight="1" thickBot="1">
      <c r="B75" s="3418"/>
      <c r="C75" s="2480" t="s">
        <v>1329</v>
      </c>
      <c r="D75" s="2436">
        <v>0</v>
      </c>
      <c r="E75" s="2436">
        <v>0</v>
      </c>
      <c r="F75" s="2437">
        <v>0</v>
      </c>
      <c r="G75" s="2437">
        <v>0</v>
      </c>
      <c r="H75" s="2437">
        <v>0</v>
      </c>
      <c r="I75" s="2436">
        <v>0</v>
      </c>
      <c r="J75" s="2438">
        <v>0</v>
      </c>
      <c r="K75" s="2439">
        <f>SUM(D75:J75)</f>
        <v>0</v>
      </c>
      <c r="L75" s="1305" t="s">
        <v>1330</v>
      </c>
      <c r="M75" s="2348">
        <v>0</v>
      </c>
      <c r="N75" s="2348">
        <v>2</v>
      </c>
      <c r="O75" s="2348">
        <v>2</v>
      </c>
      <c r="P75" s="2348">
        <v>0</v>
      </c>
      <c r="Q75" s="2348">
        <v>0</v>
      </c>
      <c r="R75" s="2348">
        <v>0</v>
      </c>
      <c r="S75" s="2348">
        <v>0</v>
      </c>
      <c r="T75" s="2228">
        <f>SUM(M75:S75)</f>
        <v>4</v>
      </c>
      <c r="U75" s="3423"/>
      <c r="V75" s="3405"/>
    </row>
    <row r="76" spans="1:22" ht="12.75" customHeight="1">
      <c r="B76" s="2482" t="s">
        <v>1368</v>
      </c>
      <c r="C76" s="2472"/>
      <c r="D76" s="2251"/>
      <c r="E76" s="2252"/>
      <c r="F76" s="2254"/>
      <c r="G76" s="2254"/>
      <c r="H76" s="2254"/>
      <c r="I76" s="2254"/>
      <c r="J76" s="2253"/>
      <c r="K76" s="1219"/>
      <c r="L76" s="1220"/>
      <c r="M76" s="1241"/>
      <c r="N76" s="1241"/>
      <c r="O76" s="1241"/>
      <c r="P76" s="1241"/>
      <c r="Q76" s="1241"/>
      <c r="R76" s="1241"/>
      <c r="S76" s="1241"/>
      <c r="T76" s="1222"/>
      <c r="U76" s="1236"/>
      <c r="V76" s="1215"/>
    </row>
    <row r="77" spans="1:22" ht="12.75" customHeight="1">
      <c r="A77" s="3420">
        <v>87</v>
      </c>
      <c r="B77" s="3408" t="s">
        <v>1369</v>
      </c>
      <c r="C77" s="2472" t="s">
        <v>1328</v>
      </c>
      <c r="D77" s="2440">
        <v>4</v>
      </c>
      <c r="E77" s="2440">
        <v>9</v>
      </c>
      <c r="F77" s="2441">
        <v>0</v>
      </c>
      <c r="G77" s="2441">
        <v>6</v>
      </c>
      <c r="H77" s="2441">
        <v>1</v>
      </c>
      <c r="I77" s="2440">
        <v>8</v>
      </c>
      <c r="J77" s="2441">
        <v>0</v>
      </c>
      <c r="K77" s="1219">
        <f t="shared" ref="K77:K86" si="29">SUM(D77:J77)</f>
        <v>28</v>
      </c>
      <c r="L77" s="1220" t="s">
        <v>1317</v>
      </c>
      <c r="M77" s="1241">
        <v>0</v>
      </c>
      <c r="N77" s="1241">
        <v>7</v>
      </c>
      <c r="O77" s="1241">
        <v>3</v>
      </c>
      <c r="P77" s="1241">
        <v>1</v>
      </c>
      <c r="Q77" s="1241">
        <v>0</v>
      </c>
      <c r="R77" s="1241">
        <v>0</v>
      </c>
      <c r="S77" s="1241">
        <v>0</v>
      </c>
      <c r="T77" s="1222">
        <f t="shared" ref="T77:T86" si="30">SUM(M77:S77)</f>
        <v>11</v>
      </c>
      <c r="U77" s="3417">
        <f>+T77+T78</f>
        <v>43</v>
      </c>
      <c r="V77" s="3405">
        <f>+T77+T78</f>
        <v>43</v>
      </c>
    </row>
    <row r="78" spans="1:22" ht="12.75" customHeight="1">
      <c r="A78" s="3420"/>
      <c r="B78" s="3403"/>
      <c r="C78" s="2474" t="s">
        <v>1329</v>
      </c>
      <c r="D78" s="2442">
        <v>5</v>
      </c>
      <c r="E78" s="2442">
        <v>4</v>
      </c>
      <c r="F78" s="2443">
        <v>0</v>
      </c>
      <c r="G78" s="2443">
        <v>3</v>
      </c>
      <c r="H78" s="2443">
        <v>0</v>
      </c>
      <c r="I78" s="2442">
        <v>3</v>
      </c>
      <c r="J78" s="2443">
        <v>0</v>
      </c>
      <c r="K78" s="1226">
        <f t="shared" si="29"/>
        <v>15</v>
      </c>
      <c r="L78" s="1227" t="s">
        <v>1330</v>
      </c>
      <c r="M78" s="1213">
        <v>0</v>
      </c>
      <c r="N78" s="1213">
        <v>17</v>
      </c>
      <c r="O78" s="1213">
        <v>10</v>
      </c>
      <c r="P78" s="1213">
        <v>1</v>
      </c>
      <c r="Q78" s="1213">
        <v>4</v>
      </c>
      <c r="R78" s="1213">
        <v>0</v>
      </c>
      <c r="S78" s="1213">
        <v>0</v>
      </c>
      <c r="T78" s="2191">
        <f t="shared" si="30"/>
        <v>32</v>
      </c>
      <c r="U78" s="3417"/>
      <c r="V78" s="3405"/>
    </row>
    <row r="79" spans="1:22" ht="12.75" customHeight="1">
      <c r="A79" s="1242"/>
      <c r="B79" s="3402" t="s">
        <v>1370</v>
      </c>
      <c r="C79" s="2473" t="s">
        <v>1328</v>
      </c>
      <c r="D79" s="2444">
        <v>2</v>
      </c>
      <c r="E79" s="2444">
        <v>11</v>
      </c>
      <c r="F79" s="2445">
        <v>0</v>
      </c>
      <c r="G79" s="2445">
        <v>4</v>
      </c>
      <c r="H79" s="2445">
        <v>1</v>
      </c>
      <c r="I79" s="2444">
        <v>5</v>
      </c>
      <c r="J79" s="2445">
        <v>0</v>
      </c>
      <c r="K79" s="2186">
        <f t="shared" si="29"/>
        <v>23</v>
      </c>
      <c r="L79" s="2187" t="s">
        <v>1317</v>
      </c>
      <c r="M79" s="1211">
        <v>0</v>
      </c>
      <c r="N79" s="1211">
        <v>2</v>
      </c>
      <c r="O79" s="1211">
        <v>3</v>
      </c>
      <c r="P79" s="1211">
        <v>0</v>
      </c>
      <c r="Q79" s="1211">
        <v>1</v>
      </c>
      <c r="R79" s="1211">
        <v>0</v>
      </c>
      <c r="S79" s="1211">
        <v>0</v>
      </c>
      <c r="T79" s="2188">
        <f t="shared" si="30"/>
        <v>6</v>
      </c>
      <c r="U79" s="3417">
        <f>+T79+T80</f>
        <v>40</v>
      </c>
      <c r="V79" s="3405">
        <f>+T79+T80</f>
        <v>40</v>
      </c>
    </row>
    <row r="80" spans="1:22" ht="12.75" customHeight="1">
      <c r="A80" s="1242"/>
      <c r="B80" s="3403"/>
      <c r="C80" s="2474" t="s">
        <v>1329</v>
      </c>
      <c r="D80" s="2446">
        <v>0</v>
      </c>
      <c r="E80" s="2446">
        <v>9</v>
      </c>
      <c r="F80" s="2447">
        <v>0</v>
      </c>
      <c r="G80" s="2447">
        <v>7</v>
      </c>
      <c r="H80" s="2447">
        <v>0</v>
      </c>
      <c r="I80" s="2446">
        <v>1</v>
      </c>
      <c r="J80" s="2447">
        <v>0</v>
      </c>
      <c r="K80" s="1226">
        <f t="shared" si="29"/>
        <v>17</v>
      </c>
      <c r="L80" s="1227" t="s">
        <v>1330</v>
      </c>
      <c r="M80" s="1213">
        <v>1</v>
      </c>
      <c r="N80" s="1213">
        <v>9</v>
      </c>
      <c r="O80" s="1213">
        <v>19</v>
      </c>
      <c r="P80" s="1213">
        <v>3</v>
      </c>
      <c r="Q80" s="1213">
        <v>2</v>
      </c>
      <c r="R80" s="1213">
        <v>0</v>
      </c>
      <c r="S80" s="1213">
        <v>0</v>
      </c>
      <c r="T80" s="2191">
        <f t="shared" si="30"/>
        <v>34</v>
      </c>
      <c r="U80" s="3417"/>
      <c r="V80" s="3405"/>
    </row>
    <row r="81" spans="2:31" ht="12.75" customHeight="1">
      <c r="B81" s="3402" t="s">
        <v>1371</v>
      </c>
      <c r="C81" s="2473" t="s">
        <v>1328</v>
      </c>
      <c r="D81" s="2448">
        <v>7</v>
      </c>
      <c r="E81" s="2448">
        <v>8</v>
      </c>
      <c r="F81" s="2449">
        <v>0</v>
      </c>
      <c r="G81" s="2449">
        <v>9</v>
      </c>
      <c r="H81" s="2449">
        <v>2</v>
      </c>
      <c r="I81" s="2448">
        <v>17</v>
      </c>
      <c r="J81" s="2449">
        <v>0</v>
      </c>
      <c r="K81" s="1219">
        <f t="shared" si="29"/>
        <v>43</v>
      </c>
      <c r="L81" s="2187" t="s">
        <v>1317</v>
      </c>
      <c r="M81" s="1211">
        <v>0</v>
      </c>
      <c r="N81" s="1211">
        <v>12</v>
      </c>
      <c r="O81" s="1211">
        <v>14</v>
      </c>
      <c r="P81" s="1211">
        <v>2</v>
      </c>
      <c r="Q81" s="1211">
        <v>0</v>
      </c>
      <c r="R81" s="1211">
        <v>0</v>
      </c>
      <c r="S81" s="1211">
        <v>0</v>
      </c>
      <c r="T81" s="2188">
        <f t="shared" si="30"/>
        <v>28</v>
      </c>
      <c r="U81" s="3417">
        <f>+T81+T82</f>
        <v>78</v>
      </c>
      <c r="V81" s="3405">
        <f>+T81+T82</f>
        <v>78</v>
      </c>
      <c r="AD81" s="1243" t="s">
        <v>1372</v>
      </c>
      <c r="AE81" s="1244">
        <v>977</v>
      </c>
    </row>
    <row r="82" spans="2:31" ht="16.5" customHeight="1">
      <c r="B82" s="3403"/>
      <c r="C82" s="2474" t="s">
        <v>1329</v>
      </c>
      <c r="D82" s="2450">
        <v>4</v>
      </c>
      <c r="E82" s="2450">
        <v>13</v>
      </c>
      <c r="F82" s="2451">
        <v>0</v>
      </c>
      <c r="G82" s="2451">
        <v>5</v>
      </c>
      <c r="H82" s="2451">
        <v>2</v>
      </c>
      <c r="I82" s="2450">
        <v>11</v>
      </c>
      <c r="J82" s="2451">
        <v>0</v>
      </c>
      <c r="K82" s="1226">
        <f t="shared" si="29"/>
        <v>35</v>
      </c>
      <c r="L82" s="1227" t="s">
        <v>1330</v>
      </c>
      <c r="M82" s="1213">
        <v>1</v>
      </c>
      <c r="N82" s="1213">
        <v>14</v>
      </c>
      <c r="O82" s="1213">
        <v>29</v>
      </c>
      <c r="P82" s="1213">
        <v>3</v>
      </c>
      <c r="Q82" s="1213">
        <v>3</v>
      </c>
      <c r="R82" s="1213">
        <v>0</v>
      </c>
      <c r="S82" s="1213">
        <v>0</v>
      </c>
      <c r="T82" s="2191">
        <f t="shared" si="30"/>
        <v>50</v>
      </c>
      <c r="U82" s="3417"/>
      <c r="V82" s="3405"/>
      <c r="AD82" s="1243" t="s">
        <v>1373</v>
      </c>
      <c r="AE82" s="1244">
        <v>2565</v>
      </c>
    </row>
    <row r="83" spans="2:31" ht="12.75" customHeight="1">
      <c r="B83" s="3402" t="s">
        <v>1374</v>
      </c>
      <c r="C83" s="2473" t="s">
        <v>1328</v>
      </c>
      <c r="D83" s="2452">
        <v>1</v>
      </c>
      <c r="E83" s="2452">
        <v>4</v>
      </c>
      <c r="F83" s="2453">
        <v>0</v>
      </c>
      <c r="G83" s="2453">
        <v>8</v>
      </c>
      <c r="H83" s="2453">
        <v>2</v>
      </c>
      <c r="I83" s="2452">
        <v>10</v>
      </c>
      <c r="J83" s="2453">
        <v>0</v>
      </c>
      <c r="K83" s="1219">
        <f t="shared" si="29"/>
        <v>25</v>
      </c>
      <c r="L83" s="2187" t="s">
        <v>1317</v>
      </c>
      <c r="M83" s="1211">
        <v>0</v>
      </c>
      <c r="N83" s="1211">
        <v>3</v>
      </c>
      <c r="O83" s="1211">
        <v>9</v>
      </c>
      <c r="P83" s="1211">
        <v>1</v>
      </c>
      <c r="Q83" s="1211">
        <v>0</v>
      </c>
      <c r="R83" s="1211">
        <v>0</v>
      </c>
      <c r="S83" s="1211">
        <v>0</v>
      </c>
      <c r="T83" s="2188">
        <f t="shared" si="30"/>
        <v>13</v>
      </c>
      <c r="U83" s="3417">
        <f>+T83+T84</f>
        <v>41</v>
      </c>
      <c r="V83" s="3405">
        <f>+T83+T84</f>
        <v>41</v>
      </c>
      <c r="AD83" s="1243" t="s">
        <v>1375</v>
      </c>
      <c r="AE83" s="1244">
        <v>3401</v>
      </c>
    </row>
    <row r="84" spans="2:31" ht="12.75" customHeight="1">
      <c r="B84" s="3403"/>
      <c r="C84" s="2474" t="s">
        <v>1329</v>
      </c>
      <c r="D84" s="2454">
        <v>1</v>
      </c>
      <c r="E84" s="2454">
        <v>9</v>
      </c>
      <c r="F84" s="2455">
        <v>0</v>
      </c>
      <c r="G84" s="2455">
        <v>3</v>
      </c>
      <c r="H84" s="2455">
        <v>0</v>
      </c>
      <c r="I84" s="2454">
        <v>3</v>
      </c>
      <c r="J84" s="2455">
        <v>0</v>
      </c>
      <c r="K84" s="1226">
        <f t="shared" si="29"/>
        <v>16</v>
      </c>
      <c r="L84" s="1227" t="s">
        <v>1330</v>
      </c>
      <c r="M84" s="1213">
        <v>0</v>
      </c>
      <c r="N84" s="1213">
        <v>10</v>
      </c>
      <c r="O84" s="1213">
        <v>16</v>
      </c>
      <c r="P84" s="1213">
        <v>1</v>
      </c>
      <c r="Q84" s="1213">
        <v>1</v>
      </c>
      <c r="R84" s="1213">
        <v>0</v>
      </c>
      <c r="S84" s="1213">
        <v>0</v>
      </c>
      <c r="T84" s="2191">
        <f t="shared" si="30"/>
        <v>28</v>
      </c>
      <c r="U84" s="3417"/>
      <c r="V84" s="3405"/>
      <c r="AD84" s="1243" t="s">
        <v>1376</v>
      </c>
      <c r="AE84" s="1244">
        <v>264</v>
      </c>
    </row>
    <row r="85" spans="2:31" ht="12.75" customHeight="1">
      <c r="B85" s="3402" t="s">
        <v>1377</v>
      </c>
      <c r="C85" s="2473" t="s">
        <v>1328</v>
      </c>
      <c r="D85" s="2452">
        <v>0</v>
      </c>
      <c r="E85" s="2452">
        <v>4</v>
      </c>
      <c r="F85" s="2453">
        <v>1</v>
      </c>
      <c r="G85" s="2453">
        <v>12</v>
      </c>
      <c r="H85" s="2453">
        <v>0</v>
      </c>
      <c r="I85" s="2452">
        <v>1</v>
      </c>
      <c r="J85" s="2453">
        <v>0</v>
      </c>
      <c r="K85" s="1219">
        <f t="shared" si="29"/>
        <v>18</v>
      </c>
      <c r="L85" s="2187" t="s">
        <v>1317</v>
      </c>
      <c r="M85" s="1211">
        <v>0</v>
      </c>
      <c r="N85" s="1211">
        <v>3</v>
      </c>
      <c r="O85" s="1211">
        <v>0</v>
      </c>
      <c r="P85" s="1211">
        <v>0</v>
      </c>
      <c r="Q85" s="1211">
        <v>0</v>
      </c>
      <c r="R85" s="1211">
        <v>0</v>
      </c>
      <c r="S85" s="1211">
        <v>0</v>
      </c>
      <c r="T85" s="2188">
        <f t="shared" si="30"/>
        <v>3</v>
      </c>
      <c r="U85" s="3417">
        <f>+T85+T86</f>
        <v>28</v>
      </c>
      <c r="V85" s="3405">
        <f>+T85+T86</f>
        <v>28</v>
      </c>
      <c r="AD85" s="1243" t="s">
        <v>1375</v>
      </c>
      <c r="AE85" s="1244">
        <v>3401</v>
      </c>
    </row>
    <row r="86" spans="2:31" ht="12.75" customHeight="1" thickBot="1">
      <c r="B86" s="3403"/>
      <c r="C86" s="2474" t="s">
        <v>1329</v>
      </c>
      <c r="D86" s="2454">
        <v>0</v>
      </c>
      <c r="E86" s="2454">
        <v>5</v>
      </c>
      <c r="F86" s="2455">
        <v>0</v>
      </c>
      <c r="G86" s="2455">
        <v>3</v>
      </c>
      <c r="H86" s="2455">
        <v>0</v>
      </c>
      <c r="I86" s="2454">
        <v>2</v>
      </c>
      <c r="J86" s="2455">
        <v>0</v>
      </c>
      <c r="K86" s="1226">
        <f t="shared" si="29"/>
        <v>10</v>
      </c>
      <c r="L86" s="1227" t="s">
        <v>1330</v>
      </c>
      <c r="M86" s="1213">
        <v>4</v>
      </c>
      <c r="N86" s="1213">
        <v>10</v>
      </c>
      <c r="O86" s="1213">
        <v>11</v>
      </c>
      <c r="P86" s="1213">
        <v>0</v>
      </c>
      <c r="Q86" s="1213">
        <v>0</v>
      </c>
      <c r="R86" s="1213">
        <v>0</v>
      </c>
      <c r="S86" s="1213">
        <v>0</v>
      </c>
      <c r="T86" s="2191">
        <f t="shared" si="30"/>
        <v>25</v>
      </c>
      <c r="U86" s="3417"/>
      <c r="V86" s="3405"/>
      <c r="AD86" s="1243" t="s">
        <v>1376</v>
      </c>
      <c r="AE86" s="1244">
        <v>264</v>
      </c>
    </row>
    <row r="87" spans="2:31" ht="11.25" customHeight="1">
      <c r="B87" s="3424" t="s">
        <v>1378</v>
      </c>
      <c r="C87" s="2479" t="s">
        <v>1328</v>
      </c>
      <c r="D87" s="1245">
        <f t="shared" ref="D87:K87" si="31">+D83+D81+D79+D77+D74+D70+D67+D65+D63+D61+D56+D44+D52+D50+D46+D42+D40+D38+D72+D35+D33+D31+D28+D26+D24+D22+D20+D18+D16+D14+D12+D10+D8+D6+D4+D59+D85</f>
        <v>62</v>
      </c>
      <c r="E87" s="1245">
        <f t="shared" si="31"/>
        <v>317</v>
      </c>
      <c r="F87" s="1245">
        <f t="shared" si="31"/>
        <v>13</v>
      </c>
      <c r="G87" s="1245">
        <f t="shared" si="31"/>
        <v>238</v>
      </c>
      <c r="H87" s="1245">
        <f t="shared" si="31"/>
        <v>147</v>
      </c>
      <c r="I87" s="1245">
        <f t="shared" si="31"/>
        <v>259</v>
      </c>
      <c r="J87" s="1245">
        <f t="shared" si="31"/>
        <v>26</v>
      </c>
      <c r="K87" s="1245">
        <f t="shared" si="31"/>
        <v>1062</v>
      </c>
      <c r="L87" s="2229" t="s">
        <v>1317</v>
      </c>
      <c r="M87" s="1245">
        <f t="shared" ref="M87:T87" si="32">+M83+M81+M79+M77+M74+M70+M67+M65+M63+M61+M56+M44+M52+M50+M46+M42+M40+M38+M72+M35+M33+M31+M28+M26+M24+M22+M20+M18+M16+M14+M12+M10+M8+M6+M4+M59+M85</f>
        <v>9</v>
      </c>
      <c r="N87" s="1245">
        <f t="shared" si="32"/>
        <v>121</v>
      </c>
      <c r="O87" s="1245">
        <f t="shared" si="32"/>
        <v>161</v>
      </c>
      <c r="P87" s="1245">
        <f t="shared" si="32"/>
        <v>25</v>
      </c>
      <c r="Q87" s="1245">
        <f t="shared" si="32"/>
        <v>11</v>
      </c>
      <c r="R87" s="1245">
        <f t="shared" si="32"/>
        <v>1</v>
      </c>
      <c r="S87" s="1245">
        <f t="shared" si="32"/>
        <v>0</v>
      </c>
      <c r="T87" s="1245">
        <f t="shared" si="32"/>
        <v>328</v>
      </c>
      <c r="U87" s="3417">
        <f>+T87+T88</f>
        <v>1420</v>
      </c>
      <c r="V87" s="3405">
        <f>+T87+T88</f>
        <v>1420</v>
      </c>
      <c r="X87" s="1204">
        <f>SUM(D87:J87)</f>
        <v>1062</v>
      </c>
      <c r="AD87" s="1243"/>
      <c r="AE87" s="1244">
        <f>SUM(AE81:AE84)</f>
        <v>7207</v>
      </c>
    </row>
    <row r="88" spans="2:31" ht="11.25" customHeight="1" thickBot="1">
      <c r="B88" s="3425"/>
      <c r="C88" s="2480" t="s">
        <v>1329</v>
      </c>
      <c r="D88" s="1246">
        <f>+D73+D84+D82+D80+D78+D75++D71+D68+D66+D45+D64+D62+D57+D53+D51+D47+D43+D41+D39+D36+D34+D32+D29+D27+D25+D23+D21+D19+D17+D15+D13+D11+D9+D7+D5+D60+D86</f>
        <v>41</v>
      </c>
      <c r="E88" s="1246">
        <f>+E73+E84+E82+E80+E78+E75++E71+E68+E66+E45+E64+E62+E57+E53+E51+E47+E43+E41+E39+E36+E34+E32+E29+E27+E25+E23+E21+E19+E17+E15+E13+E11+E9+E7+E5+E60+E86</f>
        <v>177</v>
      </c>
      <c r="F88" s="1246">
        <f>+F73+F84+F82+F80+F78+F75++F71+F68+F66+F45+F64+F62+F57+F53+F51+F47+F43+F41+F39+F36+F34+F32+F29+F27+F25+F23+F21+F19+F17+F15+F13+F11+F9+F7+F5+F60+F86</f>
        <v>1</v>
      </c>
      <c r="G88" s="1246">
        <f t="shared" ref="G88:J88" si="33">+G73+G84+G82+G80+G78+G75++G71+G68+G66+G45+G64+G62+G57+G53+G51+G47+G43+G41+G39+G36+G34+G32+G29+G27+G25+G23+G21+G19+G17+G15+G13+G11+G9+G7+G5+G60+G86</f>
        <v>60</v>
      </c>
      <c r="H88" s="1246">
        <f t="shared" si="33"/>
        <v>8</v>
      </c>
      <c r="I88" s="1246">
        <f t="shared" si="33"/>
        <v>69</v>
      </c>
      <c r="J88" s="1246">
        <f t="shared" si="33"/>
        <v>2</v>
      </c>
      <c r="K88" s="1246">
        <f>+K73+K84+K82+K80+K78+K75++K71+K68+K66+K45+K64+K62+K57+K53+K51+K47+K43+K41+K39+K36+K34+K32+K29+K27+K25+K23+K21+K19+K17+K15+K13+K11+K9+K7+K5+K60+K86</f>
        <v>358</v>
      </c>
      <c r="L88" s="2231" t="s">
        <v>1330</v>
      </c>
      <c r="M88" s="1246">
        <f t="shared" ref="M88:S88" si="34">+M73+M84+M82+M80+M78+M75++M71+M68+M66+M45+M64+M62+M57+M53+M51+M47+M43+M41+M39+M36+M34+M32+M29+M27+M25+M23+M21+M19+M17+M15+M13+M11+M9+M7+M5+M60+M86</f>
        <v>23</v>
      </c>
      <c r="N88" s="1246">
        <f t="shared" si="34"/>
        <v>378</v>
      </c>
      <c r="O88" s="1246">
        <f t="shared" si="34"/>
        <v>554</v>
      </c>
      <c r="P88" s="1246">
        <f t="shared" si="34"/>
        <v>63</v>
      </c>
      <c r="Q88" s="1246">
        <f t="shared" si="34"/>
        <v>69</v>
      </c>
      <c r="R88" s="1246">
        <f t="shared" si="34"/>
        <v>3</v>
      </c>
      <c r="S88" s="1246">
        <f t="shared" si="34"/>
        <v>2</v>
      </c>
      <c r="T88" s="1246">
        <f>+T84+T82+T80+T78+T75+T71+T68+T66+T64+T62+T57+T45+T53+T51+T47+T43+T41+T39+T73+T36+T34+T32+T29+T27+T25+T23+T21+T19+T17+T15+T13+T11+T9+T7+T5+T60+T86</f>
        <v>1092</v>
      </c>
      <c r="U88" s="3417"/>
      <c r="V88" s="3405"/>
      <c r="X88" s="1204">
        <f>SUM(D88:J88)</f>
        <v>358</v>
      </c>
      <c r="AE88" s="1247"/>
    </row>
    <row r="89" spans="2:31" ht="16.5" thickBot="1">
      <c r="B89" s="3416" t="s">
        <v>1059</v>
      </c>
      <c r="C89" s="3428"/>
      <c r="D89" s="2456">
        <f>SUM(D4:D86)</f>
        <v>103</v>
      </c>
      <c r="E89" s="1256">
        <f>SUM(E4:E86)</f>
        <v>494</v>
      </c>
      <c r="F89" s="2236">
        <f>SUM(F4:F86)</f>
        <v>14</v>
      </c>
      <c r="G89" s="1256">
        <f t="shared" ref="G89:K89" si="35">SUM(G4:G86)</f>
        <v>298</v>
      </c>
      <c r="H89" s="2236">
        <f>SUM(H4:H86)</f>
        <v>155</v>
      </c>
      <c r="I89" s="1256">
        <f t="shared" si="35"/>
        <v>328</v>
      </c>
      <c r="J89" s="2236">
        <f t="shared" si="35"/>
        <v>28</v>
      </c>
      <c r="K89" s="2457">
        <f t="shared" si="35"/>
        <v>1420</v>
      </c>
      <c r="L89" s="2458"/>
      <c r="M89" s="1248">
        <f t="shared" ref="M89:R89" si="36">SUM(M4:M86)</f>
        <v>32</v>
      </c>
      <c r="N89" s="2233">
        <f t="shared" si="36"/>
        <v>499</v>
      </c>
      <c r="O89" s="1248">
        <f t="shared" si="36"/>
        <v>715</v>
      </c>
      <c r="P89" s="2233">
        <f t="shared" si="36"/>
        <v>88</v>
      </c>
      <c r="Q89" s="1248">
        <f t="shared" si="36"/>
        <v>80</v>
      </c>
      <c r="R89" s="2233">
        <f t="shared" si="36"/>
        <v>4</v>
      </c>
      <c r="S89" s="2233">
        <f>SUM(S4:S84)</f>
        <v>2</v>
      </c>
      <c r="T89" s="2234">
        <f>SUM(T4:T86)</f>
        <v>1420</v>
      </c>
      <c r="U89" s="1249"/>
    </row>
    <row r="90" spans="2:31" ht="8.25" customHeight="1"/>
    <row r="91" spans="2:31" ht="21" customHeight="1">
      <c r="B91" s="1250" t="s">
        <v>1379</v>
      </c>
      <c r="C91" s="1250"/>
      <c r="D91" s="1250"/>
      <c r="E91" s="1250"/>
      <c r="F91" s="1250"/>
      <c r="G91" s="1250"/>
      <c r="H91" s="1250"/>
    </row>
    <row r="92" spans="2:31" ht="14.25" customHeight="1"/>
    <row r="93" spans="2:31" ht="8.25" customHeight="1"/>
    <row r="94" spans="2:31">
      <c r="B94" s="3429" t="s">
        <v>1380</v>
      </c>
      <c r="C94" s="3429"/>
      <c r="D94" s="3429"/>
      <c r="E94" s="3429"/>
      <c r="F94" s="3429"/>
      <c r="G94" s="3429"/>
      <c r="H94" s="3429"/>
      <c r="I94" s="3429"/>
      <c r="J94" s="3429"/>
      <c r="K94" s="3429"/>
      <c r="L94" s="3429"/>
      <c r="M94" s="3429"/>
      <c r="N94" s="3429"/>
      <c r="O94" s="3429"/>
      <c r="P94" s="3429"/>
      <c r="Q94" s="3429"/>
      <c r="R94" s="3429"/>
      <c r="S94" s="3429"/>
      <c r="T94" s="3429"/>
      <c r="U94" s="3429"/>
      <c r="W94" s="1251">
        <f>K88+K87</f>
        <v>1420</v>
      </c>
    </row>
    <row r="95" spans="2:31" ht="20.25" customHeight="1" thickBot="1">
      <c r="B95" s="3391" t="s">
        <v>1381</v>
      </c>
      <c r="C95" s="3391"/>
      <c r="D95" s="3391"/>
      <c r="E95" s="3391"/>
      <c r="F95" s="3391"/>
      <c r="G95" s="3391"/>
      <c r="H95" s="3391"/>
      <c r="I95" s="3391"/>
      <c r="J95" s="3391"/>
      <c r="K95" s="3391"/>
      <c r="L95" s="3391"/>
      <c r="M95" s="3391"/>
      <c r="N95" s="3391"/>
      <c r="O95" s="3391"/>
      <c r="P95" s="3391"/>
      <c r="Q95" s="3391"/>
      <c r="R95" s="3391"/>
      <c r="S95" s="3391"/>
      <c r="T95" s="3391"/>
      <c r="U95" s="1203"/>
    </row>
    <row r="96" spans="2:31" ht="15.75" customHeight="1">
      <c r="B96" s="3392" t="s">
        <v>830</v>
      </c>
      <c r="C96" s="3394" t="s">
        <v>1308</v>
      </c>
      <c r="D96" s="3430" t="s">
        <v>1309</v>
      </c>
      <c r="E96" s="3431"/>
      <c r="F96" s="3431"/>
      <c r="G96" s="3431"/>
      <c r="H96" s="3431"/>
      <c r="I96" s="3431"/>
      <c r="J96" s="3431"/>
      <c r="K96" s="3432"/>
      <c r="L96" s="3398" t="s">
        <v>1310</v>
      </c>
      <c r="M96" s="3400" t="s">
        <v>1311</v>
      </c>
      <c r="N96" s="3400"/>
      <c r="O96" s="3400"/>
      <c r="P96" s="3400"/>
      <c r="Q96" s="3400"/>
      <c r="R96" s="3400"/>
      <c r="S96" s="3400"/>
      <c r="T96" s="3394" t="s">
        <v>49</v>
      </c>
      <c r="U96" s="3406"/>
    </row>
    <row r="97" spans="2:28" ht="47.25" customHeight="1" thickBot="1">
      <c r="B97" s="3393"/>
      <c r="C97" s="3401"/>
      <c r="D97" s="2483" t="s">
        <v>1382</v>
      </c>
      <c r="E97" s="2484" t="s">
        <v>1383</v>
      </c>
      <c r="F97" s="2485" t="s">
        <v>1384</v>
      </c>
      <c r="G97" s="2485" t="s">
        <v>1315</v>
      </c>
      <c r="H97" s="2485" t="s">
        <v>1316</v>
      </c>
      <c r="I97" s="2486" t="s">
        <v>1317</v>
      </c>
      <c r="J97" s="2487" t="s">
        <v>1385</v>
      </c>
      <c r="K97" s="2488" t="s">
        <v>1319</v>
      </c>
      <c r="L97" s="3399"/>
      <c r="M97" s="2463" t="s">
        <v>1320</v>
      </c>
      <c r="N97" s="2465" t="s">
        <v>1321</v>
      </c>
      <c r="O97" s="2463" t="s">
        <v>1322</v>
      </c>
      <c r="P97" s="2463" t="s">
        <v>1323</v>
      </c>
      <c r="Q97" s="2463" t="s">
        <v>1324</v>
      </c>
      <c r="R97" s="2464" t="s">
        <v>1325</v>
      </c>
      <c r="S97" s="2465" t="s">
        <v>1326</v>
      </c>
      <c r="T97" s="3401"/>
      <c r="U97" s="3406"/>
      <c r="W97" s="1252"/>
      <c r="X97" s="1253"/>
      <c r="Y97" s="1252"/>
      <c r="Z97" s="1252"/>
      <c r="AA97" s="1252" t="s">
        <v>1317</v>
      </c>
      <c r="AB97" s="1252" t="s">
        <v>1386</v>
      </c>
    </row>
    <row r="98" spans="2:28" ht="12.75" customHeight="1">
      <c r="B98" s="3392" t="s">
        <v>71</v>
      </c>
      <c r="C98" s="2479" t="s">
        <v>1328</v>
      </c>
      <c r="D98" s="2177">
        <v>72</v>
      </c>
      <c r="E98" s="2177">
        <v>38</v>
      </c>
      <c r="F98" s="2178">
        <v>3</v>
      </c>
      <c r="G98" s="2178">
        <v>9</v>
      </c>
      <c r="H98" s="2178">
        <v>46</v>
      </c>
      <c r="I98" s="2177">
        <v>218</v>
      </c>
      <c r="J98" s="2178">
        <v>109</v>
      </c>
      <c r="K98" s="2179">
        <f t="shared" ref="K98:K139" si="37">SUM(D98:J98)</f>
        <v>495</v>
      </c>
      <c r="L98" s="1299" t="s">
        <v>1317</v>
      </c>
      <c r="M98" s="2180">
        <v>0</v>
      </c>
      <c r="N98" s="2180">
        <v>19</v>
      </c>
      <c r="O98" s="2180">
        <v>70</v>
      </c>
      <c r="P98" s="1237">
        <v>83</v>
      </c>
      <c r="Q98" s="1237">
        <v>50</v>
      </c>
      <c r="R98" s="1237">
        <v>2</v>
      </c>
      <c r="S98" s="1237">
        <v>0</v>
      </c>
      <c r="T98" s="2181">
        <f t="shared" ref="T98:T141" si="38">SUM(M98:S98)</f>
        <v>224</v>
      </c>
      <c r="U98" s="3406">
        <f>+T98+T99</f>
        <v>510</v>
      </c>
      <c r="V98" s="3405">
        <f>+K98+K99</f>
        <v>510</v>
      </c>
      <c r="W98" s="1252"/>
      <c r="X98" s="3404"/>
      <c r="Y98" s="1231">
        <f t="shared" ref="Y98:Y119" si="39">SUM(AA98:AB98)</f>
        <v>1420</v>
      </c>
      <c r="Z98" s="1204" t="s">
        <v>1387</v>
      </c>
      <c r="AA98" s="1254">
        <f>T150</f>
        <v>328</v>
      </c>
      <c r="AB98" s="1254">
        <f>T151</f>
        <v>1092</v>
      </c>
    </row>
    <row r="99" spans="2:28" ht="12.75" customHeight="1">
      <c r="B99" s="3433"/>
      <c r="C99" s="2472" t="s">
        <v>1329</v>
      </c>
      <c r="D99" s="2182">
        <v>1</v>
      </c>
      <c r="E99" s="2182">
        <v>8</v>
      </c>
      <c r="F99" s="2183">
        <v>0</v>
      </c>
      <c r="G99" s="2183">
        <v>0</v>
      </c>
      <c r="H99" s="2183">
        <v>0</v>
      </c>
      <c r="I99" s="2182">
        <v>6</v>
      </c>
      <c r="J99" s="2183">
        <v>0</v>
      </c>
      <c r="K99" s="1219">
        <f t="shared" si="37"/>
        <v>15</v>
      </c>
      <c r="L99" s="1220" t="s">
        <v>1330</v>
      </c>
      <c r="M99" s="1221">
        <v>1</v>
      </c>
      <c r="N99" s="1221">
        <v>33</v>
      </c>
      <c r="O99" s="1221">
        <v>98</v>
      </c>
      <c r="P99" s="1241">
        <v>97</v>
      </c>
      <c r="Q99" s="1241">
        <v>52</v>
      </c>
      <c r="R99" s="1241">
        <v>4</v>
      </c>
      <c r="S99" s="1241">
        <v>1</v>
      </c>
      <c r="T99" s="1222">
        <f t="shared" si="38"/>
        <v>286</v>
      </c>
      <c r="U99" s="3406"/>
      <c r="V99" s="3405"/>
      <c r="W99" s="1252">
        <f t="shared" ref="W99:W139" si="40">U98-V98</f>
        <v>0</v>
      </c>
      <c r="X99" s="3404"/>
      <c r="Y99" s="1231">
        <f t="shared" si="39"/>
        <v>240</v>
      </c>
      <c r="Z99" s="1204" t="s">
        <v>68</v>
      </c>
      <c r="AA99" s="1254">
        <f>T106</f>
        <v>145</v>
      </c>
      <c r="AB99" s="1254">
        <f>T107</f>
        <v>95</v>
      </c>
    </row>
    <row r="100" spans="2:28" ht="12.75" customHeight="1">
      <c r="B100" s="3426" t="s">
        <v>1388</v>
      </c>
      <c r="C100" s="2473" t="s">
        <v>1328</v>
      </c>
      <c r="D100" s="2184">
        <v>39</v>
      </c>
      <c r="E100" s="2184">
        <v>10</v>
      </c>
      <c r="F100" s="2185">
        <v>0</v>
      </c>
      <c r="G100" s="2185">
        <v>7</v>
      </c>
      <c r="H100" s="2185">
        <v>2</v>
      </c>
      <c r="I100" s="2184">
        <v>144</v>
      </c>
      <c r="J100" s="2185">
        <v>42</v>
      </c>
      <c r="K100" s="2186">
        <f t="shared" si="37"/>
        <v>244</v>
      </c>
      <c r="L100" s="2187" t="s">
        <v>1317</v>
      </c>
      <c r="M100" s="1211">
        <v>0</v>
      </c>
      <c r="N100" s="1211">
        <v>17</v>
      </c>
      <c r="O100" s="1211">
        <v>54</v>
      </c>
      <c r="P100" s="1211">
        <v>38</v>
      </c>
      <c r="Q100" s="1211">
        <v>36</v>
      </c>
      <c r="R100" s="1211">
        <v>2</v>
      </c>
      <c r="S100" s="1211">
        <v>0</v>
      </c>
      <c r="T100" s="2188">
        <f t="shared" si="38"/>
        <v>147</v>
      </c>
      <c r="U100" s="3406">
        <f>+T100+T101</f>
        <v>255</v>
      </c>
      <c r="V100" s="3405">
        <f>+K100+K101</f>
        <v>255</v>
      </c>
      <c r="W100" s="1252">
        <f t="shared" si="40"/>
        <v>0</v>
      </c>
      <c r="X100" s="3404"/>
      <c r="Y100" s="1231">
        <f t="shared" si="39"/>
        <v>122</v>
      </c>
      <c r="Z100" s="1204" t="s">
        <v>69</v>
      </c>
      <c r="AA100" s="1254">
        <f>T104</f>
        <v>55</v>
      </c>
      <c r="AB100" s="1254">
        <f>T105</f>
        <v>67</v>
      </c>
    </row>
    <row r="101" spans="2:28" ht="12.75" customHeight="1">
      <c r="B101" s="3427"/>
      <c r="C101" s="2474" t="s">
        <v>1329</v>
      </c>
      <c r="D101" s="2189">
        <v>2</v>
      </c>
      <c r="E101" s="2189">
        <v>3</v>
      </c>
      <c r="F101" s="2190">
        <v>0</v>
      </c>
      <c r="G101" s="2190">
        <v>3</v>
      </c>
      <c r="H101" s="2190">
        <v>0</v>
      </c>
      <c r="I101" s="2189">
        <v>3</v>
      </c>
      <c r="J101" s="2190">
        <v>0</v>
      </c>
      <c r="K101" s="1226">
        <f t="shared" si="37"/>
        <v>11</v>
      </c>
      <c r="L101" s="1227" t="s">
        <v>1330</v>
      </c>
      <c r="M101" s="1213">
        <v>1</v>
      </c>
      <c r="N101" s="1213">
        <v>16</v>
      </c>
      <c r="O101" s="1213">
        <v>35</v>
      </c>
      <c r="P101" s="1213">
        <v>28</v>
      </c>
      <c r="Q101" s="1213">
        <v>27</v>
      </c>
      <c r="R101" s="1213">
        <v>1</v>
      </c>
      <c r="S101" s="1213">
        <v>0</v>
      </c>
      <c r="T101" s="2191">
        <f t="shared" si="38"/>
        <v>108</v>
      </c>
      <c r="U101" s="3406"/>
      <c r="V101" s="3405"/>
      <c r="W101" s="1252">
        <f t="shared" si="40"/>
        <v>0</v>
      </c>
      <c r="X101" s="3404"/>
      <c r="Y101" s="1231">
        <f t="shared" si="39"/>
        <v>255</v>
      </c>
      <c r="Z101" s="1204" t="s">
        <v>70</v>
      </c>
      <c r="AA101" s="1254">
        <f>T100</f>
        <v>147</v>
      </c>
      <c r="AB101" s="1254">
        <f>T101</f>
        <v>108</v>
      </c>
    </row>
    <row r="102" spans="2:28" ht="12.75" customHeight="1">
      <c r="B102" s="3426" t="s">
        <v>86</v>
      </c>
      <c r="C102" s="2473" t="s">
        <v>1328</v>
      </c>
      <c r="D102" s="2192">
        <v>17</v>
      </c>
      <c r="E102" s="2192">
        <v>16</v>
      </c>
      <c r="F102" s="2193">
        <v>0</v>
      </c>
      <c r="G102" s="2193">
        <v>13</v>
      </c>
      <c r="H102" s="2193">
        <v>20</v>
      </c>
      <c r="I102" s="2192">
        <v>113</v>
      </c>
      <c r="J102" s="2193">
        <v>25</v>
      </c>
      <c r="K102" s="1219">
        <f t="shared" si="37"/>
        <v>204</v>
      </c>
      <c r="L102" s="2187" t="s">
        <v>1317</v>
      </c>
      <c r="M102" s="1241">
        <v>0</v>
      </c>
      <c r="N102" s="1241">
        <v>15</v>
      </c>
      <c r="O102" s="1241">
        <v>45</v>
      </c>
      <c r="P102" s="1241">
        <v>34</v>
      </c>
      <c r="Q102" s="1241">
        <v>28</v>
      </c>
      <c r="R102" s="1241">
        <v>2</v>
      </c>
      <c r="S102" s="1241">
        <v>0</v>
      </c>
      <c r="T102" s="2188">
        <f t="shared" si="38"/>
        <v>124</v>
      </c>
      <c r="U102" s="3406">
        <f>+T102+T103</f>
        <v>218</v>
      </c>
      <c r="V102" s="3405">
        <f>+K102+K103</f>
        <v>218</v>
      </c>
      <c r="W102" s="1252">
        <f t="shared" si="40"/>
        <v>0</v>
      </c>
      <c r="X102" s="1230"/>
      <c r="Y102" s="1231">
        <f t="shared" si="39"/>
        <v>218</v>
      </c>
      <c r="Z102" s="1204" t="s">
        <v>86</v>
      </c>
      <c r="AA102" s="1254">
        <f>T102</f>
        <v>124</v>
      </c>
      <c r="AB102" s="1254">
        <f>T103</f>
        <v>94</v>
      </c>
    </row>
    <row r="103" spans="2:28" ht="12.75" customHeight="1">
      <c r="B103" s="3433"/>
      <c r="C103" s="2474" t="s">
        <v>1329</v>
      </c>
      <c r="D103" s="2194">
        <v>0</v>
      </c>
      <c r="E103" s="2194">
        <v>3</v>
      </c>
      <c r="F103" s="2195">
        <v>0</v>
      </c>
      <c r="G103" s="2195">
        <v>0</v>
      </c>
      <c r="H103" s="2195">
        <v>0</v>
      </c>
      <c r="I103" s="2194">
        <v>11</v>
      </c>
      <c r="J103" s="2195">
        <v>0</v>
      </c>
      <c r="K103" s="1219">
        <f t="shared" si="37"/>
        <v>14</v>
      </c>
      <c r="L103" s="1227" t="s">
        <v>1330</v>
      </c>
      <c r="M103" s="1241">
        <v>0</v>
      </c>
      <c r="N103" s="1241">
        <v>19</v>
      </c>
      <c r="O103" s="1241">
        <v>28</v>
      </c>
      <c r="P103" s="1241">
        <v>16</v>
      </c>
      <c r="Q103" s="1241">
        <v>29</v>
      </c>
      <c r="R103" s="1241">
        <v>2</v>
      </c>
      <c r="S103" s="1241">
        <v>0</v>
      </c>
      <c r="T103" s="2191">
        <f t="shared" si="38"/>
        <v>94</v>
      </c>
      <c r="U103" s="3406"/>
      <c r="V103" s="3405"/>
      <c r="W103" s="1252">
        <f t="shared" si="40"/>
        <v>0</v>
      </c>
      <c r="X103" s="1230"/>
      <c r="Y103" s="1231">
        <f t="shared" si="39"/>
        <v>510</v>
      </c>
      <c r="Z103" s="1204" t="s">
        <v>71</v>
      </c>
      <c r="AA103" s="1254">
        <f>+T98</f>
        <v>224</v>
      </c>
      <c r="AB103" s="1254">
        <f>+T99</f>
        <v>286</v>
      </c>
    </row>
    <row r="104" spans="2:28" ht="12.75" customHeight="1">
      <c r="B104" s="3426" t="s">
        <v>69</v>
      </c>
      <c r="C104" s="2473" t="s">
        <v>1328</v>
      </c>
      <c r="D104" s="2196">
        <v>15</v>
      </c>
      <c r="E104" s="2196">
        <v>10</v>
      </c>
      <c r="F104" s="2197">
        <v>0</v>
      </c>
      <c r="G104" s="2197">
        <v>2</v>
      </c>
      <c r="H104" s="2197">
        <v>8</v>
      </c>
      <c r="I104" s="2196">
        <v>54</v>
      </c>
      <c r="J104" s="2197">
        <v>30</v>
      </c>
      <c r="K104" s="2186">
        <f t="shared" si="37"/>
        <v>119</v>
      </c>
      <c r="L104" s="2187" t="s">
        <v>1317</v>
      </c>
      <c r="M104" s="2198">
        <v>0</v>
      </c>
      <c r="N104" s="2198">
        <v>9</v>
      </c>
      <c r="O104" s="2198">
        <v>24</v>
      </c>
      <c r="P104" s="2198">
        <v>15</v>
      </c>
      <c r="Q104" s="2198">
        <v>7</v>
      </c>
      <c r="R104" s="2198">
        <v>0</v>
      </c>
      <c r="S104" s="2198">
        <v>0</v>
      </c>
      <c r="T104" s="2188">
        <f t="shared" si="38"/>
        <v>55</v>
      </c>
      <c r="U104" s="3406">
        <f>+T104+T105</f>
        <v>122</v>
      </c>
      <c r="V104" s="3405">
        <f>+K104+K105</f>
        <v>122</v>
      </c>
      <c r="W104" s="1252">
        <f t="shared" si="40"/>
        <v>0</v>
      </c>
      <c r="X104" s="3404"/>
      <c r="Y104" s="1231">
        <f t="shared" si="39"/>
        <v>342</v>
      </c>
      <c r="Z104" s="1204" t="s">
        <v>72</v>
      </c>
      <c r="AA104" s="1254">
        <f>+T118</f>
        <v>169</v>
      </c>
      <c r="AB104" s="1254">
        <f>+T119</f>
        <v>173</v>
      </c>
    </row>
    <row r="105" spans="2:28" ht="12.75" customHeight="1">
      <c r="B105" s="3427"/>
      <c r="C105" s="2474" t="s">
        <v>1329</v>
      </c>
      <c r="D105" s="2199">
        <v>1</v>
      </c>
      <c r="E105" s="2199">
        <v>1</v>
      </c>
      <c r="F105" s="2200">
        <v>0</v>
      </c>
      <c r="G105" s="2200">
        <v>0</v>
      </c>
      <c r="H105" s="2200">
        <v>0</v>
      </c>
      <c r="I105" s="2199">
        <v>1</v>
      </c>
      <c r="J105" s="2200">
        <v>0</v>
      </c>
      <c r="K105" s="1226">
        <f t="shared" si="37"/>
        <v>3</v>
      </c>
      <c r="L105" s="1227" t="s">
        <v>1330</v>
      </c>
      <c r="M105" s="2201">
        <v>0</v>
      </c>
      <c r="N105" s="2201">
        <v>10</v>
      </c>
      <c r="O105" s="2201">
        <v>18</v>
      </c>
      <c r="P105" s="2201">
        <v>20</v>
      </c>
      <c r="Q105" s="2201">
        <v>19</v>
      </c>
      <c r="R105" s="2201">
        <v>0</v>
      </c>
      <c r="S105" s="2201">
        <v>0</v>
      </c>
      <c r="T105" s="2191">
        <f t="shared" si="38"/>
        <v>67</v>
      </c>
      <c r="U105" s="3406"/>
      <c r="V105" s="3405"/>
      <c r="W105" s="1252">
        <f t="shared" si="40"/>
        <v>0</v>
      </c>
      <c r="X105" s="3404"/>
      <c r="Y105" s="1231">
        <f t="shared" si="39"/>
        <v>316</v>
      </c>
      <c r="Z105" s="1204" t="s">
        <v>450</v>
      </c>
      <c r="AA105" s="1254">
        <f>+T108</f>
        <v>182</v>
      </c>
      <c r="AB105" s="1254">
        <f>+T109</f>
        <v>134</v>
      </c>
    </row>
    <row r="106" spans="2:28" ht="12.75" customHeight="1">
      <c r="B106" s="3426" t="s">
        <v>68</v>
      </c>
      <c r="C106" s="2473" t="s">
        <v>1328</v>
      </c>
      <c r="D106" s="2202">
        <v>21</v>
      </c>
      <c r="E106" s="2202">
        <v>9</v>
      </c>
      <c r="F106" s="2203">
        <v>0</v>
      </c>
      <c r="G106" s="2203">
        <v>5</v>
      </c>
      <c r="H106" s="2203">
        <v>25</v>
      </c>
      <c r="I106" s="2202">
        <v>138</v>
      </c>
      <c r="J106" s="2203">
        <v>31</v>
      </c>
      <c r="K106" s="2186">
        <f t="shared" si="37"/>
        <v>229</v>
      </c>
      <c r="L106" s="2187" t="s">
        <v>1317</v>
      </c>
      <c r="M106" s="1211">
        <v>0</v>
      </c>
      <c r="N106" s="1211">
        <v>14</v>
      </c>
      <c r="O106" s="1211">
        <v>40</v>
      </c>
      <c r="P106" s="1211">
        <v>49</v>
      </c>
      <c r="Q106" s="1211">
        <v>34</v>
      </c>
      <c r="R106" s="1211">
        <v>7</v>
      </c>
      <c r="S106" s="1211">
        <v>1</v>
      </c>
      <c r="T106" s="2188">
        <f t="shared" si="38"/>
        <v>145</v>
      </c>
      <c r="U106" s="3406">
        <f>+T106+T107</f>
        <v>240</v>
      </c>
      <c r="V106" s="3405">
        <f>+K106+K107</f>
        <v>240</v>
      </c>
      <c r="W106" s="1252">
        <f t="shared" si="40"/>
        <v>0</v>
      </c>
      <c r="X106" s="3404"/>
      <c r="Y106" s="1231">
        <f t="shared" si="39"/>
        <v>652</v>
      </c>
      <c r="Z106" s="1204" t="s">
        <v>76</v>
      </c>
      <c r="AA106" s="1254">
        <f>+T112</f>
        <v>426</v>
      </c>
      <c r="AB106" s="1254">
        <f>+T113</f>
        <v>226</v>
      </c>
    </row>
    <row r="107" spans="2:28" ht="12.75" customHeight="1">
      <c r="B107" s="3427"/>
      <c r="C107" s="2474" t="s">
        <v>1329</v>
      </c>
      <c r="D107" s="2204">
        <v>1</v>
      </c>
      <c r="E107" s="2204">
        <v>3</v>
      </c>
      <c r="F107" s="2205">
        <v>0</v>
      </c>
      <c r="G107" s="2205">
        <v>0</v>
      </c>
      <c r="H107" s="2205">
        <v>0</v>
      </c>
      <c r="I107" s="2204">
        <v>7</v>
      </c>
      <c r="J107" s="2205">
        <v>0</v>
      </c>
      <c r="K107" s="1226">
        <f t="shared" si="37"/>
        <v>11</v>
      </c>
      <c r="L107" s="1227" t="s">
        <v>1330</v>
      </c>
      <c r="M107" s="1213">
        <v>0</v>
      </c>
      <c r="N107" s="1213">
        <v>10</v>
      </c>
      <c r="O107" s="1213">
        <v>19</v>
      </c>
      <c r="P107" s="1213">
        <v>18</v>
      </c>
      <c r="Q107" s="1213">
        <v>44</v>
      </c>
      <c r="R107" s="1213">
        <v>3</v>
      </c>
      <c r="S107" s="1213">
        <v>1</v>
      </c>
      <c r="T107" s="2191">
        <f t="shared" si="38"/>
        <v>95</v>
      </c>
      <c r="U107" s="3406"/>
      <c r="V107" s="3405"/>
      <c r="W107" s="1252">
        <f t="shared" si="40"/>
        <v>0</v>
      </c>
      <c r="X107" s="3404"/>
      <c r="Y107" s="1231">
        <f t="shared" si="39"/>
        <v>159</v>
      </c>
      <c r="Z107" s="1204" t="s">
        <v>77</v>
      </c>
      <c r="AA107" s="1254">
        <f>+T114</f>
        <v>90</v>
      </c>
      <c r="AB107" s="1254">
        <f>+T115</f>
        <v>69</v>
      </c>
    </row>
    <row r="108" spans="2:28" ht="12.75" customHeight="1">
      <c r="B108" s="3433" t="s">
        <v>483</v>
      </c>
      <c r="C108" s="2472" t="s">
        <v>1328</v>
      </c>
      <c r="D108" s="2206">
        <v>39</v>
      </c>
      <c r="E108" s="2206">
        <v>23</v>
      </c>
      <c r="F108" s="2207">
        <v>0</v>
      </c>
      <c r="G108" s="2207">
        <v>8</v>
      </c>
      <c r="H108" s="2207">
        <v>44</v>
      </c>
      <c r="I108" s="2206">
        <v>173</v>
      </c>
      <c r="J108" s="2207">
        <v>9</v>
      </c>
      <c r="K108" s="1219">
        <f t="shared" si="37"/>
        <v>296</v>
      </c>
      <c r="L108" s="1220" t="s">
        <v>1317</v>
      </c>
      <c r="M108" s="1241">
        <v>0</v>
      </c>
      <c r="N108" s="1241">
        <v>22</v>
      </c>
      <c r="O108" s="1241">
        <v>62</v>
      </c>
      <c r="P108" s="1241">
        <v>62</v>
      </c>
      <c r="Q108" s="1241">
        <v>31</v>
      </c>
      <c r="R108" s="1241">
        <v>5</v>
      </c>
      <c r="S108" s="1241">
        <v>0</v>
      </c>
      <c r="T108" s="1222">
        <f t="shared" si="38"/>
        <v>182</v>
      </c>
      <c r="U108" s="3406">
        <f>+T108+T109</f>
        <v>316</v>
      </c>
      <c r="V108" s="3405">
        <f>+K108+K109</f>
        <v>316</v>
      </c>
      <c r="W108" s="1252">
        <f t="shared" si="40"/>
        <v>0</v>
      </c>
      <c r="X108" s="3404"/>
      <c r="Y108" s="1231">
        <f t="shared" si="39"/>
        <v>314</v>
      </c>
      <c r="Z108" s="1204" t="s">
        <v>78</v>
      </c>
      <c r="AA108" s="1254">
        <f>+T116</f>
        <v>165</v>
      </c>
      <c r="AB108" s="1254">
        <f>+T117</f>
        <v>149</v>
      </c>
    </row>
    <row r="109" spans="2:28" ht="12.75" customHeight="1">
      <c r="B109" s="3433"/>
      <c r="C109" s="2472" t="s">
        <v>1329</v>
      </c>
      <c r="D109" s="2208">
        <v>4</v>
      </c>
      <c r="E109" s="2208">
        <v>6</v>
      </c>
      <c r="F109" s="2209">
        <v>0</v>
      </c>
      <c r="G109" s="2209">
        <v>1</v>
      </c>
      <c r="H109" s="2209">
        <v>0</v>
      </c>
      <c r="I109" s="2208">
        <v>9</v>
      </c>
      <c r="J109" s="2209">
        <v>0</v>
      </c>
      <c r="K109" s="1219">
        <f t="shared" si="37"/>
        <v>20</v>
      </c>
      <c r="L109" s="1220" t="s">
        <v>1330</v>
      </c>
      <c r="M109" s="1241">
        <v>0</v>
      </c>
      <c r="N109" s="1241">
        <v>28</v>
      </c>
      <c r="O109" s="1241">
        <v>38</v>
      </c>
      <c r="P109" s="1241">
        <v>32</v>
      </c>
      <c r="Q109" s="1241">
        <v>30</v>
      </c>
      <c r="R109" s="1241">
        <v>6</v>
      </c>
      <c r="S109" s="1241">
        <v>0</v>
      </c>
      <c r="T109" s="1222">
        <f t="shared" si="38"/>
        <v>134</v>
      </c>
      <c r="U109" s="3406"/>
      <c r="V109" s="3405"/>
      <c r="W109" s="1252">
        <f t="shared" si="40"/>
        <v>0</v>
      </c>
      <c r="X109" s="3404"/>
      <c r="Y109" s="1231">
        <f t="shared" si="39"/>
        <v>318</v>
      </c>
      <c r="Z109" s="1204" t="s">
        <v>79</v>
      </c>
      <c r="AA109" s="1254">
        <f>+T122</f>
        <v>182</v>
      </c>
      <c r="AB109" s="1254">
        <f>+T123</f>
        <v>136</v>
      </c>
    </row>
    <row r="110" spans="2:28" ht="12.75" customHeight="1">
      <c r="B110" s="3426" t="s">
        <v>401</v>
      </c>
      <c r="C110" s="2473" t="s">
        <v>1328</v>
      </c>
      <c r="D110" s="2210">
        <v>15</v>
      </c>
      <c r="E110" s="2210">
        <v>8</v>
      </c>
      <c r="F110" s="2211">
        <v>0</v>
      </c>
      <c r="G110" s="2211">
        <v>4</v>
      </c>
      <c r="H110" s="2211">
        <v>5</v>
      </c>
      <c r="I110" s="2210">
        <v>65</v>
      </c>
      <c r="J110" s="2211">
        <v>4</v>
      </c>
      <c r="K110" s="2186">
        <f t="shared" si="37"/>
        <v>101</v>
      </c>
      <c r="L110" s="2187" t="s">
        <v>1317</v>
      </c>
      <c r="M110" s="1211">
        <v>0</v>
      </c>
      <c r="N110" s="1211">
        <v>13</v>
      </c>
      <c r="O110" s="1211">
        <v>23</v>
      </c>
      <c r="P110" s="1211">
        <v>22</v>
      </c>
      <c r="Q110" s="1211">
        <v>10</v>
      </c>
      <c r="R110" s="1211">
        <v>0</v>
      </c>
      <c r="S110" s="1211">
        <v>0</v>
      </c>
      <c r="T110" s="2188">
        <f t="shared" si="38"/>
        <v>68</v>
      </c>
      <c r="U110" s="3406">
        <f>+T110+T111</f>
        <v>108</v>
      </c>
      <c r="V110" s="3405">
        <f>+K110+K111</f>
        <v>108</v>
      </c>
      <c r="W110" s="1252">
        <f t="shared" si="40"/>
        <v>0</v>
      </c>
      <c r="X110" s="1230"/>
      <c r="Y110" s="1231">
        <f t="shared" si="39"/>
        <v>108</v>
      </c>
      <c r="Z110" s="1204" t="s">
        <v>75</v>
      </c>
      <c r="AA110" s="1254">
        <f>T110</f>
        <v>68</v>
      </c>
      <c r="AB110" s="1254">
        <f>T111</f>
        <v>40</v>
      </c>
    </row>
    <row r="111" spans="2:28" ht="12.75" customHeight="1">
      <c r="B111" s="3427"/>
      <c r="C111" s="2474" t="s">
        <v>1329</v>
      </c>
      <c r="D111" s="2212">
        <v>0</v>
      </c>
      <c r="E111" s="2212">
        <v>3</v>
      </c>
      <c r="F111" s="2213">
        <v>1</v>
      </c>
      <c r="G111" s="2213">
        <v>0</v>
      </c>
      <c r="H111" s="2213">
        <v>0</v>
      </c>
      <c r="I111" s="2212">
        <v>3</v>
      </c>
      <c r="J111" s="2213">
        <v>0</v>
      </c>
      <c r="K111" s="1226">
        <f t="shared" si="37"/>
        <v>7</v>
      </c>
      <c r="L111" s="1227" t="s">
        <v>1330</v>
      </c>
      <c r="M111" s="1213">
        <v>0</v>
      </c>
      <c r="N111" s="1213">
        <v>15</v>
      </c>
      <c r="O111" s="1213">
        <v>8</v>
      </c>
      <c r="P111" s="1213">
        <v>7</v>
      </c>
      <c r="Q111" s="1213">
        <v>10</v>
      </c>
      <c r="R111" s="1213">
        <v>0</v>
      </c>
      <c r="S111" s="1213">
        <v>0</v>
      </c>
      <c r="T111" s="2191">
        <f t="shared" si="38"/>
        <v>40</v>
      </c>
      <c r="U111" s="3406"/>
      <c r="V111" s="3405"/>
      <c r="W111" s="1252">
        <f t="shared" si="40"/>
        <v>0</v>
      </c>
      <c r="X111" s="1230"/>
      <c r="Y111" s="1231">
        <f t="shared" si="39"/>
        <v>131</v>
      </c>
      <c r="Z111" s="1255" t="s">
        <v>1389</v>
      </c>
      <c r="AA111" s="1254">
        <f>T130</f>
        <v>62</v>
      </c>
      <c r="AB111" s="1254">
        <f>T131</f>
        <v>69</v>
      </c>
    </row>
    <row r="112" spans="2:28" ht="12.75" customHeight="1">
      <c r="B112" s="3426" t="s">
        <v>76</v>
      </c>
      <c r="C112" s="2473" t="s">
        <v>1328</v>
      </c>
      <c r="D112" s="2214">
        <v>32</v>
      </c>
      <c r="E112" s="2214">
        <v>37</v>
      </c>
      <c r="F112" s="2215">
        <v>0</v>
      </c>
      <c r="G112" s="2215">
        <v>15</v>
      </c>
      <c r="H112" s="2215">
        <v>67</v>
      </c>
      <c r="I112" s="2214">
        <v>422</v>
      </c>
      <c r="J112" s="2215">
        <v>61</v>
      </c>
      <c r="K112" s="2186">
        <f>SUM(D112:J112)</f>
        <v>634</v>
      </c>
      <c r="L112" s="2187" t="s">
        <v>1317</v>
      </c>
      <c r="M112" s="1211">
        <v>1</v>
      </c>
      <c r="N112" s="1211">
        <v>23</v>
      </c>
      <c r="O112" s="1211">
        <v>141</v>
      </c>
      <c r="P112" s="1211">
        <v>130</v>
      </c>
      <c r="Q112" s="1211">
        <v>125</v>
      </c>
      <c r="R112" s="1211">
        <v>6</v>
      </c>
      <c r="S112" s="1211">
        <v>0</v>
      </c>
      <c r="T112" s="2188">
        <f t="shared" si="38"/>
        <v>426</v>
      </c>
      <c r="U112" s="3406">
        <f>+T112+T113</f>
        <v>652</v>
      </c>
      <c r="V112" s="3405">
        <f>+K112+K113</f>
        <v>652</v>
      </c>
      <c r="W112" s="1252">
        <f t="shared" si="40"/>
        <v>0</v>
      </c>
      <c r="X112" s="3404"/>
      <c r="Y112" s="1231">
        <f t="shared" si="39"/>
        <v>445</v>
      </c>
      <c r="Z112" s="1204" t="s">
        <v>1390</v>
      </c>
      <c r="AA112" s="1254">
        <f>+T124</f>
        <v>193</v>
      </c>
      <c r="AB112" s="1254">
        <f>+T125</f>
        <v>252</v>
      </c>
    </row>
    <row r="113" spans="1:28" ht="12.75" customHeight="1">
      <c r="B113" s="3427"/>
      <c r="C113" s="2474" t="s">
        <v>1329</v>
      </c>
      <c r="D113" s="2216">
        <v>1</v>
      </c>
      <c r="E113" s="2216">
        <v>12</v>
      </c>
      <c r="F113" s="2217">
        <v>0</v>
      </c>
      <c r="G113" s="2217">
        <v>0</v>
      </c>
      <c r="H113" s="2217">
        <v>1</v>
      </c>
      <c r="I113" s="2216">
        <v>4</v>
      </c>
      <c r="J113" s="2217">
        <v>0</v>
      </c>
      <c r="K113" s="1226">
        <f t="shared" si="37"/>
        <v>18</v>
      </c>
      <c r="L113" s="1227" t="s">
        <v>1330</v>
      </c>
      <c r="M113" s="1213">
        <v>1</v>
      </c>
      <c r="N113" s="1213">
        <v>44</v>
      </c>
      <c r="O113" s="1213">
        <v>52</v>
      </c>
      <c r="P113" s="1213">
        <v>72</v>
      </c>
      <c r="Q113" s="1213">
        <v>53</v>
      </c>
      <c r="R113" s="1213">
        <v>2</v>
      </c>
      <c r="S113" s="1213">
        <v>2</v>
      </c>
      <c r="T113" s="2191">
        <f t="shared" si="38"/>
        <v>226</v>
      </c>
      <c r="U113" s="3406"/>
      <c r="V113" s="3405"/>
      <c r="W113" s="1252">
        <f t="shared" si="40"/>
        <v>0</v>
      </c>
      <c r="X113" s="3404"/>
      <c r="Y113" s="1231">
        <f t="shared" si="39"/>
        <v>440</v>
      </c>
      <c r="Z113" s="1204" t="s">
        <v>1391</v>
      </c>
      <c r="AA113" s="1254">
        <f>+T126</f>
        <v>256</v>
      </c>
      <c r="AB113" s="1254">
        <f>+T127</f>
        <v>184</v>
      </c>
    </row>
    <row r="114" spans="1:28" ht="12.75" customHeight="1">
      <c r="A114" s="3420">
        <v>88</v>
      </c>
      <c r="B114" s="3426" t="s">
        <v>77</v>
      </c>
      <c r="C114" s="2473" t="s">
        <v>1328</v>
      </c>
      <c r="D114" s="2218">
        <v>39</v>
      </c>
      <c r="E114" s="2218">
        <v>9</v>
      </c>
      <c r="F114" s="2219">
        <v>0</v>
      </c>
      <c r="G114" s="2219">
        <v>5</v>
      </c>
      <c r="H114" s="2219">
        <v>11</v>
      </c>
      <c r="I114" s="2218">
        <v>87</v>
      </c>
      <c r="J114" s="2219">
        <v>2</v>
      </c>
      <c r="K114" s="2186">
        <f t="shared" si="37"/>
        <v>153</v>
      </c>
      <c r="L114" s="2187" t="s">
        <v>1317</v>
      </c>
      <c r="M114" s="1211">
        <v>0</v>
      </c>
      <c r="N114" s="1211">
        <v>13</v>
      </c>
      <c r="O114" s="1211">
        <v>35</v>
      </c>
      <c r="P114" s="1211">
        <v>24</v>
      </c>
      <c r="Q114" s="1211">
        <v>18</v>
      </c>
      <c r="R114" s="1211">
        <v>0</v>
      </c>
      <c r="S114" s="1211">
        <v>0</v>
      </c>
      <c r="T114" s="2188">
        <f t="shared" si="38"/>
        <v>90</v>
      </c>
      <c r="U114" s="3406">
        <f>+T114+T115</f>
        <v>159</v>
      </c>
      <c r="V114" s="3405">
        <f>+K114+K115</f>
        <v>159</v>
      </c>
      <c r="W114" s="1252">
        <f t="shared" si="40"/>
        <v>0</v>
      </c>
      <c r="X114" s="3404"/>
      <c r="Y114" s="1231">
        <f t="shared" si="39"/>
        <v>214</v>
      </c>
      <c r="Z114" s="1204" t="s">
        <v>84</v>
      </c>
      <c r="AA114" s="1254">
        <f>+T134</f>
        <v>62</v>
      </c>
      <c r="AB114" s="1254">
        <f>+T135</f>
        <v>152</v>
      </c>
    </row>
    <row r="115" spans="1:28" ht="12.75" customHeight="1">
      <c r="A115" s="3420"/>
      <c r="B115" s="3427"/>
      <c r="C115" s="2474" t="s">
        <v>1329</v>
      </c>
      <c r="D115" s="2220">
        <v>0</v>
      </c>
      <c r="E115" s="2220">
        <v>2</v>
      </c>
      <c r="F115" s="2221">
        <v>0</v>
      </c>
      <c r="G115" s="2221">
        <v>1</v>
      </c>
      <c r="H115" s="2221">
        <v>0</v>
      </c>
      <c r="I115" s="2220">
        <v>3</v>
      </c>
      <c r="J115" s="2221">
        <v>0</v>
      </c>
      <c r="K115" s="1226">
        <f t="shared" si="37"/>
        <v>6</v>
      </c>
      <c r="L115" s="1227" t="s">
        <v>1330</v>
      </c>
      <c r="M115" s="1213">
        <v>0</v>
      </c>
      <c r="N115" s="1213">
        <v>10</v>
      </c>
      <c r="O115" s="1213">
        <v>35</v>
      </c>
      <c r="P115" s="1213">
        <v>16</v>
      </c>
      <c r="Q115" s="1213">
        <v>8</v>
      </c>
      <c r="R115" s="1213">
        <v>0</v>
      </c>
      <c r="S115" s="1213">
        <v>0</v>
      </c>
      <c r="T115" s="2191">
        <f t="shared" si="38"/>
        <v>69</v>
      </c>
      <c r="U115" s="3406"/>
      <c r="V115" s="3405"/>
      <c r="W115" s="1252">
        <f t="shared" si="40"/>
        <v>0</v>
      </c>
      <c r="X115" s="3404"/>
      <c r="Y115" s="1231">
        <f t="shared" si="39"/>
        <v>120</v>
      </c>
      <c r="Z115" s="1204" t="s">
        <v>403</v>
      </c>
      <c r="AA115" s="1254">
        <f>+T138</f>
        <v>49</v>
      </c>
      <c r="AB115" s="1254">
        <f>+T139</f>
        <v>71</v>
      </c>
    </row>
    <row r="116" spans="1:28" ht="12.75" customHeight="1">
      <c r="B116" s="3433" t="s">
        <v>758</v>
      </c>
      <c r="C116" s="2472" t="s">
        <v>1328</v>
      </c>
      <c r="D116" s="2222">
        <v>34</v>
      </c>
      <c r="E116" s="2222">
        <v>34</v>
      </c>
      <c r="F116" s="2223">
        <v>0</v>
      </c>
      <c r="G116" s="2223">
        <v>9</v>
      </c>
      <c r="H116" s="2223">
        <v>18</v>
      </c>
      <c r="I116" s="2222">
        <v>162</v>
      </c>
      <c r="J116" s="2223">
        <v>51</v>
      </c>
      <c r="K116" s="1219">
        <f t="shared" si="37"/>
        <v>308</v>
      </c>
      <c r="L116" s="1220" t="s">
        <v>1317</v>
      </c>
      <c r="M116" s="1241">
        <v>0</v>
      </c>
      <c r="N116" s="1241">
        <v>17</v>
      </c>
      <c r="O116" s="1241">
        <v>72</v>
      </c>
      <c r="P116" s="1241">
        <v>39</v>
      </c>
      <c r="Q116" s="1241">
        <v>36</v>
      </c>
      <c r="R116" s="1241">
        <v>0</v>
      </c>
      <c r="S116" s="1241">
        <v>1</v>
      </c>
      <c r="T116" s="1222">
        <f t="shared" si="38"/>
        <v>165</v>
      </c>
      <c r="U116" s="3406">
        <f>+T116+T117</f>
        <v>314</v>
      </c>
      <c r="V116" s="3405">
        <f>+K116+K117</f>
        <v>314</v>
      </c>
      <c r="W116" s="1252">
        <f t="shared" si="40"/>
        <v>0</v>
      </c>
      <c r="X116" s="3404"/>
      <c r="Y116" s="1231">
        <f t="shared" si="39"/>
        <v>120</v>
      </c>
      <c r="Z116" s="1204" t="s">
        <v>85</v>
      </c>
      <c r="AA116" s="1254">
        <f>+T132</f>
        <v>55</v>
      </c>
      <c r="AB116" s="1254">
        <f>+T133</f>
        <v>65</v>
      </c>
    </row>
    <row r="117" spans="1:28" ht="12.75" customHeight="1">
      <c r="B117" s="3433"/>
      <c r="C117" s="2472" t="s">
        <v>1329</v>
      </c>
      <c r="D117" s="2224">
        <v>2</v>
      </c>
      <c r="E117" s="2224">
        <v>1</v>
      </c>
      <c r="F117" s="2225">
        <v>0</v>
      </c>
      <c r="G117" s="2225">
        <v>0</v>
      </c>
      <c r="H117" s="2225">
        <v>0</v>
      </c>
      <c r="I117" s="2224">
        <v>3</v>
      </c>
      <c r="J117" s="2225">
        <v>0</v>
      </c>
      <c r="K117" s="1219">
        <f t="shared" si="37"/>
        <v>6</v>
      </c>
      <c r="L117" s="1220" t="s">
        <v>1330</v>
      </c>
      <c r="M117" s="1241">
        <v>1</v>
      </c>
      <c r="N117" s="1241">
        <v>36</v>
      </c>
      <c r="O117" s="1241">
        <v>47</v>
      </c>
      <c r="P117" s="1241">
        <v>31</v>
      </c>
      <c r="Q117" s="1241">
        <v>34</v>
      </c>
      <c r="R117" s="1241">
        <v>0</v>
      </c>
      <c r="S117" s="1241">
        <v>0</v>
      </c>
      <c r="T117" s="1222">
        <f t="shared" si="38"/>
        <v>149</v>
      </c>
      <c r="U117" s="3406"/>
      <c r="V117" s="3405"/>
      <c r="W117" s="1252">
        <f t="shared" si="40"/>
        <v>0</v>
      </c>
      <c r="X117" s="3404"/>
      <c r="Y117" s="1231">
        <f t="shared" si="39"/>
        <v>67</v>
      </c>
      <c r="Z117" s="1204" t="s">
        <v>82</v>
      </c>
      <c r="AA117" s="1254">
        <f>+T128</f>
        <v>17</v>
      </c>
      <c r="AB117" s="1254">
        <f>+T129</f>
        <v>50</v>
      </c>
    </row>
    <row r="118" spans="1:28" ht="12.75" customHeight="1">
      <c r="B118" s="3426" t="s">
        <v>1392</v>
      </c>
      <c r="C118" s="2473" t="s">
        <v>1328</v>
      </c>
      <c r="D118" s="2222">
        <v>39</v>
      </c>
      <c r="E118" s="2222">
        <v>21</v>
      </c>
      <c r="F118" s="2223">
        <v>1</v>
      </c>
      <c r="G118" s="2223">
        <v>8</v>
      </c>
      <c r="H118" s="2223">
        <v>11</v>
      </c>
      <c r="I118" s="2222">
        <v>164</v>
      </c>
      <c r="J118" s="2223">
        <v>87</v>
      </c>
      <c r="K118" s="2186">
        <f t="shared" si="37"/>
        <v>331</v>
      </c>
      <c r="L118" s="2187" t="s">
        <v>1317</v>
      </c>
      <c r="M118" s="1211">
        <v>1</v>
      </c>
      <c r="N118" s="1211">
        <v>15</v>
      </c>
      <c r="O118" s="1211">
        <v>72</v>
      </c>
      <c r="P118" s="1211">
        <v>51</v>
      </c>
      <c r="Q118" s="1211">
        <v>30</v>
      </c>
      <c r="R118" s="1211">
        <v>0</v>
      </c>
      <c r="S118" s="1211">
        <v>0</v>
      </c>
      <c r="T118" s="2188">
        <f t="shared" si="38"/>
        <v>169</v>
      </c>
      <c r="U118" s="3406">
        <f>+T118+T119</f>
        <v>342</v>
      </c>
      <c r="V118" s="3405">
        <f>+K118+K119</f>
        <v>342</v>
      </c>
      <c r="W118" s="1252">
        <f t="shared" si="40"/>
        <v>0</v>
      </c>
      <c r="X118" s="3404"/>
      <c r="Y118" s="1231">
        <f t="shared" si="39"/>
        <v>1</v>
      </c>
      <c r="Z118" s="1255" t="s">
        <v>88</v>
      </c>
      <c r="AA118" s="1254">
        <f>+T136</f>
        <v>0</v>
      </c>
      <c r="AB118" s="1254">
        <f>+T137</f>
        <v>1</v>
      </c>
    </row>
    <row r="119" spans="1:28" ht="13.5" customHeight="1">
      <c r="B119" s="3427"/>
      <c r="C119" s="2474" t="s">
        <v>1329</v>
      </c>
      <c r="D119" s="2224">
        <v>0</v>
      </c>
      <c r="E119" s="2224">
        <v>3</v>
      </c>
      <c r="F119" s="2225">
        <v>0</v>
      </c>
      <c r="G119" s="2225">
        <v>3</v>
      </c>
      <c r="H119" s="2225">
        <v>0</v>
      </c>
      <c r="I119" s="2224">
        <v>5</v>
      </c>
      <c r="J119" s="2225">
        <v>0</v>
      </c>
      <c r="K119" s="1226">
        <f t="shared" si="37"/>
        <v>11</v>
      </c>
      <c r="L119" s="1227" t="s">
        <v>1330</v>
      </c>
      <c r="M119" s="1213">
        <v>0</v>
      </c>
      <c r="N119" s="1213">
        <v>31</v>
      </c>
      <c r="O119" s="1213">
        <v>46</v>
      </c>
      <c r="P119" s="1213">
        <v>63</v>
      </c>
      <c r="Q119" s="1213">
        <v>33</v>
      </c>
      <c r="R119" s="1213">
        <v>0</v>
      </c>
      <c r="S119" s="1213">
        <v>0</v>
      </c>
      <c r="T119" s="2191">
        <f t="shared" si="38"/>
        <v>173</v>
      </c>
      <c r="U119" s="3406"/>
      <c r="V119" s="3405"/>
      <c r="W119" s="1252">
        <f t="shared" si="40"/>
        <v>0</v>
      </c>
      <c r="X119" s="3404"/>
      <c r="Y119" s="1231">
        <f t="shared" si="39"/>
        <v>80</v>
      </c>
      <c r="Z119" s="1255" t="s">
        <v>73</v>
      </c>
      <c r="AA119" s="1254">
        <f>+T120</f>
        <v>36</v>
      </c>
      <c r="AB119" s="1254">
        <f>+T121</f>
        <v>44</v>
      </c>
    </row>
    <row r="120" spans="1:28" ht="13.5" customHeight="1">
      <c r="B120" s="3426" t="s">
        <v>73</v>
      </c>
      <c r="C120" s="2473" t="s">
        <v>1328</v>
      </c>
      <c r="D120" s="2222">
        <v>13</v>
      </c>
      <c r="E120" s="2222">
        <v>18</v>
      </c>
      <c r="F120" s="2223">
        <v>0</v>
      </c>
      <c r="G120" s="2223">
        <v>2</v>
      </c>
      <c r="H120" s="2223">
        <v>6</v>
      </c>
      <c r="I120" s="2222">
        <v>35</v>
      </c>
      <c r="J120" s="2223">
        <v>4</v>
      </c>
      <c r="K120" s="2186">
        <f t="shared" si="37"/>
        <v>78</v>
      </c>
      <c r="L120" s="2187" t="s">
        <v>1317</v>
      </c>
      <c r="M120" s="1211">
        <v>0</v>
      </c>
      <c r="N120" s="1211">
        <v>6</v>
      </c>
      <c r="O120" s="1211">
        <v>15</v>
      </c>
      <c r="P120" s="1211">
        <v>6</v>
      </c>
      <c r="Q120" s="1211">
        <v>9</v>
      </c>
      <c r="R120" s="1211">
        <v>0</v>
      </c>
      <c r="S120" s="1211">
        <v>0</v>
      </c>
      <c r="T120" s="2188">
        <f t="shared" si="38"/>
        <v>36</v>
      </c>
      <c r="U120" s="3406">
        <f>+T120+T121</f>
        <v>80</v>
      </c>
      <c r="V120" s="3405">
        <f>+K120+K121</f>
        <v>80</v>
      </c>
      <c r="W120" s="1252">
        <f t="shared" si="40"/>
        <v>0</v>
      </c>
      <c r="X120" s="1230"/>
      <c r="Y120" s="1231">
        <f>SUM(Y98:Y119)</f>
        <v>6592</v>
      </c>
      <c r="Z120" s="1254">
        <f>SUM(AA120:AB120)</f>
        <v>6592</v>
      </c>
      <c r="AA120" s="1252">
        <f>SUM(AA98:AA119)</f>
        <v>3035</v>
      </c>
      <c r="AB120" s="1252">
        <f>SUM(AB98:AB119)</f>
        <v>3557</v>
      </c>
    </row>
    <row r="121" spans="1:28" ht="13.5" customHeight="1">
      <c r="B121" s="3427"/>
      <c r="C121" s="2474" t="s">
        <v>1329</v>
      </c>
      <c r="D121" s="2224">
        <v>0</v>
      </c>
      <c r="E121" s="2224">
        <v>1</v>
      </c>
      <c r="F121" s="2225">
        <v>0</v>
      </c>
      <c r="G121" s="2225">
        <v>0</v>
      </c>
      <c r="H121" s="2225">
        <v>0</v>
      </c>
      <c r="I121" s="2224">
        <v>1</v>
      </c>
      <c r="J121" s="2225">
        <v>0</v>
      </c>
      <c r="K121" s="1226">
        <f t="shared" si="37"/>
        <v>2</v>
      </c>
      <c r="L121" s="1227" t="s">
        <v>1330</v>
      </c>
      <c r="M121" s="1213">
        <v>0</v>
      </c>
      <c r="N121" s="1213">
        <v>12</v>
      </c>
      <c r="O121" s="1213">
        <v>15</v>
      </c>
      <c r="P121" s="1213">
        <v>5</v>
      </c>
      <c r="Q121" s="1213">
        <v>12</v>
      </c>
      <c r="R121" s="1213">
        <v>0</v>
      </c>
      <c r="S121" s="1213">
        <v>0</v>
      </c>
      <c r="T121" s="2191">
        <f t="shared" si="38"/>
        <v>44</v>
      </c>
      <c r="U121" s="3406"/>
      <c r="V121" s="3405"/>
      <c r="W121" s="1252">
        <f t="shared" si="40"/>
        <v>0</v>
      </c>
      <c r="X121" s="1230"/>
      <c r="Y121" s="1231"/>
      <c r="Z121" s="1254"/>
      <c r="AA121" s="1252"/>
      <c r="AB121" s="1252"/>
    </row>
    <row r="122" spans="1:28" ht="12.75" customHeight="1">
      <c r="B122" s="3433" t="s">
        <v>79</v>
      </c>
      <c r="C122" s="2472" t="s">
        <v>1328</v>
      </c>
      <c r="D122" s="2222">
        <v>43</v>
      </c>
      <c r="E122" s="2222">
        <v>22</v>
      </c>
      <c r="F122" s="2223">
        <v>0</v>
      </c>
      <c r="G122" s="2223">
        <v>15</v>
      </c>
      <c r="H122" s="2223">
        <v>27</v>
      </c>
      <c r="I122" s="2222">
        <v>176</v>
      </c>
      <c r="J122" s="2223">
        <v>26</v>
      </c>
      <c r="K122" s="1219">
        <f t="shared" si="37"/>
        <v>309</v>
      </c>
      <c r="L122" s="1220" t="s">
        <v>1317</v>
      </c>
      <c r="M122" s="1241">
        <v>0</v>
      </c>
      <c r="N122" s="1241">
        <v>21</v>
      </c>
      <c r="O122" s="1241">
        <v>55</v>
      </c>
      <c r="P122" s="1241">
        <v>53</v>
      </c>
      <c r="Q122" s="1241">
        <v>48</v>
      </c>
      <c r="R122" s="1241">
        <v>4</v>
      </c>
      <c r="S122" s="1241">
        <v>1</v>
      </c>
      <c r="T122" s="1222">
        <f t="shared" si="38"/>
        <v>182</v>
      </c>
      <c r="U122" s="3406">
        <f>+T122+T123</f>
        <v>318</v>
      </c>
      <c r="V122" s="3405">
        <f>+K122+K123</f>
        <v>318</v>
      </c>
      <c r="W122" s="1252">
        <f t="shared" si="40"/>
        <v>0</v>
      </c>
      <c r="X122" s="3404"/>
      <c r="Y122" s="1231"/>
      <c r="Z122" s="1254"/>
      <c r="AA122" s="1252"/>
      <c r="AB122" s="1252"/>
    </row>
    <row r="123" spans="1:28" ht="12.75" customHeight="1">
      <c r="B123" s="3433"/>
      <c r="C123" s="2472" t="s">
        <v>1329</v>
      </c>
      <c r="D123" s="2224">
        <v>0</v>
      </c>
      <c r="E123" s="2224">
        <v>3</v>
      </c>
      <c r="F123" s="2225">
        <v>0</v>
      </c>
      <c r="G123" s="2225">
        <v>0</v>
      </c>
      <c r="H123" s="2225">
        <v>0</v>
      </c>
      <c r="I123" s="2224">
        <v>6</v>
      </c>
      <c r="J123" s="2225">
        <v>0</v>
      </c>
      <c r="K123" s="1219">
        <f t="shared" si="37"/>
        <v>9</v>
      </c>
      <c r="L123" s="1220" t="s">
        <v>1330</v>
      </c>
      <c r="M123" s="1241">
        <v>0</v>
      </c>
      <c r="N123" s="1241">
        <v>23</v>
      </c>
      <c r="O123" s="1241">
        <v>40</v>
      </c>
      <c r="P123" s="1241">
        <v>32</v>
      </c>
      <c r="Q123" s="1241">
        <v>39</v>
      </c>
      <c r="R123" s="1241">
        <v>1</v>
      </c>
      <c r="S123" s="1241">
        <v>1</v>
      </c>
      <c r="T123" s="1222">
        <f t="shared" si="38"/>
        <v>136</v>
      </c>
      <c r="U123" s="3406"/>
      <c r="V123" s="3405"/>
      <c r="W123" s="1252">
        <f t="shared" si="40"/>
        <v>0</v>
      </c>
      <c r="X123" s="3404"/>
      <c r="Y123" s="1231"/>
      <c r="Z123" s="1254"/>
      <c r="AA123" s="1252">
        <f>SUM(AA99:AA117)</f>
        <v>2671</v>
      </c>
      <c r="AB123" s="1252">
        <f>SUM(AB99:AB117)</f>
        <v>2420</v>
      </c>
    </row>
    <row r="124" spans="1:28" ht="12.75" customHeight="1">
      <c r="B124" s="3426" t="s">
        <v>1390</v>
      </c>
      <c r="C124" s="2473" t="s">
        <v>1328</v>
      </c>
      <c r="D124" s="2222">
        <v>65</v>
      </c>
      <c r="E124" s="2222">
        <v>19</v>
      </c>
      <c r="F124" s="2223">
        <v>0</v>
      </c>
      <c r="G124" s="2223">
        <v>12</v>
      </c>
      <c r="H124" s="2223">
        <v>44</v>
      </c>
      <c r="I124" s="2222">
        <v>187</v>
      </c>
      <c r="J124" s="2223">
        <v>107</v>
      </c>
      <c r="K124" s="2186">
        <f t="shared" si="37"/>
        <v>434</v>
      </c>
      <c r="L124" s="2187" t="s">
        <v>1317</v>
      </c>
      <c r="M124" s="1211">
        <v>0</v>
      </c>
      <c r="N124" s="1211">
        <v>17</v>
      </c>
      <c r="O124" s="1211">
        <v>58</v>
      </c>
      <c r="P124" s="1211">
        <v>63</v>
      </c>
      <c r="Q124" s="1211">
        <v>52</v>
      </c>
      <c r="R124" s="1211">
        <v>3</v>
      </c>
      <c r="S124" s="1211">
        <v>0</v>
      </c>
      <c r="T124" s="2188">
        <f t="shared" si="38"/>
        <v>193</v>
      </c>
      <c r="U124" s="3406">
        <f>+T124+T125</f>
        <v>445</v>
      </c>
      <c r="V124" s="3405">
        <f>+K124+K125</f>
        <v>445</v>
      </c>
      <c r="W124" s="1252">
        <f t="shared" si="40"/>
        <v>0</v>
      </c>
      <c r="X124" s="3404"/>
      <c r="Y124" s="1231"/>
      <c r="Z124" s="1254"/>
      <c r="AA124" s="1252"/>
      <c r="AB124" s="1252"/>
    </row>
    <row r="125" spans="1:28" ht="12.75" customHeight="1">
      <c r="B125" s="3427"/>
      <c r="C125" s="2474" t="s">
        <v>1329</v>
      </c>
      <c r="D125" s="2224">
        <v>1</v>
      </c>
      <c r="E125" s="2224">
        <v>2</v>
      </c>
      <c r="F125" s="2225">
        <v>0</v>
      </c>
      <c r="G125" s="2225">
        <v>1</v>
      </c>
      <c r="H125" s="2225">
        <v>1</v>
      </c>
      <c r="I125" s="2224">
        <v>6</v>
      </c>
      <c r="J125" s="2225">
        <v>0</v>
      </c>
      <c r="K125" s="1226">
        <f t="shared" si="37"/>
        <v>11</v>
      </c>
      <c r="L125" s="1227" t="s">
        <v>1330</v>
      </c>
      <c r="M125" s="1213">
        <v>0</v>
      </c>
      <c r="N125" s="1213">
        <v>25</v>
      </c>
      <c r="O125" s="1213">
        <v>69</v>
      </c>
      <c r="P125" s="1213">
        <v>76</v>
      </c>
      <c r="Q125" s="1213">
        <v>80</v>
      </c>
      <c r="R125" s="1213">
        <v>1</v>
      </c>
      <c r="S125" s="1213">
        <v>1</v>
      </c>
      <c r="T125" s="2191">
        <f t="shared" si="38"/>
        <v>252</v>
      </c>
      <c r="U125" s="3406"/>
      <c r="V125" s="3405"/>
      <c r="W125" s="1252">
        <f t="shared" si="40"/>
        <v>0</v>
      </c>
      <c r="X125" s="3404"/>
      <c r="Y125" s="1231"/>
      <c r="Z125" s="1254"/>
      <c r="AA125" s="1252"/>
      <c r="AB125" s="1252">
        <f>+AA120+AB120</f>
        <v>6592</v>
      </c>
    </row>
    <row r="126" spans="1:28" ht="12.75" customHeight="1">
      <c r="B126" s="3433" t="s">
        <v>83</v>
      </c>
      <c r="C126" s="2472" t="s">
        <v>1328</v>
      </c>
      <c r="D126" s="2222">
        <v>64</v>
      </c>
      <c r="E126" s="2222">
        <v>4</v>
      </c>
      <c r="F126" s="2223">
        <v>0</v>
      </c>
      <c r="G126" s="2223">
        <v>15</v>
      </c>
      <c r="H126" s="2223">
        <v>36</v>
      </c>
      <c r="I126" s="2222">
        <v>253</v>
      </c>
      <c r="J126" s="2223">
        <v>59</v>
      </c>
      <c r="K126" s="2186">
        <f t="shared" si="37"/>
        <v>431</v>
      </c>
      <c r="L126" s="2187" t="s">
        <v>1317</v>
      </c>
      <c r="M126" s="1211">
        <v>0</v>
      </c>
      <c r="N126" s="1211">
        <v>18</v>
      </c>
      <c r="O126" s="1211">
        <v>48</v>
      </c>
      <c r="P126" s="1211">
        <v>57</v>
      </c>
      <c r="Q126" s="1211">
        <v>110</v>
      </c>
      <c r="R126" s="1211">
        <v>23</v>
      </c>
      <c r="S126" s="1211">
        <v>0</v>
      </c>
      <c r="T126" s="2188">
        <f t="shared" si="38"/>
        <v>256</v>
      </c>
      <c r="U126" s="3406">
        <f>+T126+T127</f>
        <v>440</v>
      </c>
      <c r="V126" s="3405">
        <f>+K126+K127</f>
        <v>440</v>
      </c>
      <c r="W126" s="1252">
        <f t="shared" si="40"/>
        <v>0</v>
      </c>
      <c r="X126" s="3404"/>
      <c r="Y126" s="1231"/>
      <c r="Z126" s="1254"/>
      <c r="AA126" s="1252"/>
      <c r="AB126" s="1252"/>
    </row>
    <row r="127" spans="1:28" ht="12.75" customHeight="1">
      <c r="B127" s="3433"/>
      <c r="C127" s="2472" t="s">
        <v>1329</v>
      </c>
      <c r="D127" s="2224">
        <v>1</v>
      </c>
      <c r="E127" s="2224">
        <v>1</v>
      </c>
      <c r="F127" s="2225">
        <v>0</v>
      </c>
      <c r="G127" s="2225">
        <v>2</v>
      </c>
      <c r="H127" s="2225">
        <v>2</v>
      </c>
      <c r="I127" s="2224">
        <v>3</v>
      </c>
      <c r="J127" s="2225">
        <v>0</v>
      </c>
      <c r="K127" s="1219">
        <f t="shared" si="37"/>
        <v>9</v>
      </c>
      <c r="L127" s="1220" t="s">
        <v>1330</v>
      </c>
      <c r="M127" s="1241">
        <v>0</v>
      </c>
      <c r="N127" s="1241">
        <v>5</v>
      </c>
      <c r="O127" s="1241">
        <v>47</v>
      </c>
      <c r="P127" s="1241">
        <v>67</v>
      </c>
      <c r="Q127" s="1241">
        <v>59</v>
      </c>
      <c r="R127" s="1241">
        <v>6</v>
      </c>
      <c r="S127" s="1241">
        <v>0</v>
      </c>
      <c r="T127" s="1222">
        <f t="shared" si="38"/>
        <v>184</v>
      </c>
      <c r="U127" s="3406"/>
      <c r="V127" s="3405"/>
      <c r="W127" s="1252">
        <f t="shared" si="40"/>
        <v>0</v>
      </c>
      <c r="X127" s="3404"/>
      <c r="Y127" s="1231"/>
      <c r="Z127" s="1254"/>
      <c r="AA127" s="1252"/>
      <c r="AB127" s="1252"/>
    </row>
    <row r="128" spans="1:28" ht="12.75" customHeight="1">
      <c r="B128" s="3426" t="s">
        <v>1393</v>
      </c>
      <c r="C128" s="2473" t="s">
        <v>1328</v>
      </c>
      <c r="D128" s="2222">
        <v>3</v>
      </c>
      <c r="E128" s="2222">
        <v>26</v>
      </c>
      <c r="F128" s="2223">
        <v>0</v>
      </c>
      <c r="G128" s="2223">
        <v>2</v>
      </c>
      <c r="H128" s="2223">
        <v>6</v>
      </c>
      <c r="I128" s="2222">
        <v>16</v>
      </c>
      <c r="J128" s="2223">
        <v>2</v>
      </c>
      <c r="K128" s="2186">
        <f t="shared" si="37"/>
        <v>55</v>
      </c>
      <c r="L128" s="2187" t="s">
        <v>1317</v>
      </c>
      <c r="M128" s="1211">
        <v>0</v>
      </c>
      <c r="N128" s="1211">
        <v>4</v>
      </c>
      <c r="O128" s="1211">
        <v>7</v>
      </c>
      <c r="P128" s="1211">
        <v>2</v>
      </c>
      <c r="Q128" s="1211">
        <v>4</v>
      </c>
      <c r="R128" s="1211">
        <v>0</v>
      </c>
      <c r="S128" s="1211">
        <v>0</v>
      </c>
      <c r="T128" s="2188">
        <f t="shared" si="38"/>
        <v>17</v>
      </c>
      <c r="U128" s="3406">
        <f>+T128+T129</f>
        <v>67</v>
      </c>
      <c r="V128" s="3405">
        <f>+K128+K129</f>
        <v>67</v>
      </c>
      <c r="W128" s="1252">
        <f t="shared" si="40"/>
        <v>0</v>
      </c>
      <c r="X128" s="3404"/>
      <c r="Y128" s="1231"/>
      <c r="Z128" s="1254"/>
      <c r="AA128" s="1252"/>
      <c r="AB128" s="1252"/>
    </row>
    <row r="129" spans="1:29" ht="12.75" customHeight="1">
      <c r="B129" s="3427"/>
      <c r="C129" s="2474" t="s">
        <v>1329</v>
      </c>
      <c r="D129" s="2224">
        <v>6</v>
      </c>
      <c r="E129" s="2224">
        <v>3</v>
      </c>
      <c r="F129" s="2225">
        <v>0</v>
      </c>
      <c r="G129" s="2225">
        <v>0</v>
      </c>
      <c r="H129" s="2225">
        <v>2</v>
      </c>
      <c r="I129" s="2224">
        <v>1</v>
      </c>
      <c r="J129" s="2225">
        <v>0</v>
      </c>
      <c r="K129" s="1219">
        <f t="shared" si="37"/>
        <v>12</v>
      </c>
      <c r="L129" s="1220" t="s">
        <v>1330</v>
      </c>
      <c r="M129" s="1241">
        <v>0</v>
      </c>
      <c r="N129" s="1241">
        <v>18</v>
      </c>
      <c r="O129" s="1241">
        <v>22</v>
      </c>
      <c r="P129" s="1241">
        <v>7</v>
      </c>
      <c r="Q129" s="1241">
        <v>3</v>
      </c>
      <c r="R129" s="1241">
        <v>0</v>
      </c>
      <c r="S129" s="1241">
        <v>0</v>
      </c>
      <c r="T129" s="1222">
        <f t="shared" si="38"/>
        <v>50</v>
      </c>
      <c r="U129" s="3406"/>
      <c r="V129" s="3405"/>
      <c r="W129" s="1252">
        <f t="shared" si="40"/>
        <v>0</v>
      </c>
      <c r="X129" s="3404"/>
      <c r="Y129" s="1231"/>
      <c r="Z129" s="1254"/>
      <c r="AA129" s="1252"/>
      <c r="AB129" s="1252"/>
    </row>
    <row r="130" spans="1:29" ht="12.75" customHeight="1">
      <c r="B130" s="3426" t="s">
        <v>87</v>
      </c>
      <c r="C130" s="2472" t="s">
        <v>1328</v>
      </c>
      <c r="D130" s="2222">
        <v>18</v>
      </c>
      <c r="E130" s="2222">
        <v>13</v>
      </c>
      <c r="F130" s="2223">
        <v>0</v>
      </c>
      <c r="G130" s="2223">
        <v>2</v>
      </c>
      <c r="H130" s="2223">
        <v>4</v>
      </c>
      <c r="I130" s="2222">
        <v>61</v>
      </c>
      <c r="J130" s="2223">
        <v>31</v>
      </c>
      <c r="K130" s="2186">
        <f t="shared" si="37"/>
        <v>129</v>
      </c>
      <c r="L130" s="2187" t="s">
        <v>1317</v>
      </c>
      <c r="M130" s="1211">
        <v>0</v>
      </c>
      <c r="N130" s="1211">
        <v>9</v>
      </c>
      <c r="O130" s="1211">
        <v>24</v>
      </c>
      <c r="P130" s="1211">
        <v>13</v>
      </c>
      <c r="Q130" s="1211">
        <v>15</v>
      </c>
      <c r="R130" s="1211">
        <v>1</v>
      </c>
      <c r="S130" s="1211">
        <v>0</v>
      </c>
      <c r="T130" s="2188">
        <f t="shared" si="38"/>
        <v>62</v>
      </c>
      <c r="U130" s="3406">
        <f>+T130+T131</f>
        <v>131</v>
      </c>
      <c r="V130" s="3405">
        <f>+K130+K131</f>
        <v>131</v>
      </c>
      <c r="W130" s="1252">
        <f t="shared" si="40"/>
        <v>0</v>
      </c>
      <c r="X130" s="1230"/>
      <c r="Y130" s="1231"/>
      <c r="Z130" s="1254"/>
      <c r="AA130" s="1252"/>
      <c r="AB130" s="1252"/>
    </row>
    <row r="131" spans="1:29" ht="12.75" customHeight="1">
      <c r="B131" s="3427"/>
      <c r="C131" s="2472" t="s">
        <v>1329</v>
      </c>
      <c r="D131" s="2224">
        <v>0</v>
      </c>
      <c r="E131" s="2224">
        <v>1</v>
      </c>
      <c r="F131" s="2225">
        <v>0</v>
      </c>
      <c r="G131" s="2225">
        <v>0</v>
      </c>
      <c r="H131" s="2225">
        <v>0</v>
      </c>
      <c r="I131" s="2224">
        <v>1</v>
      </c>
      <c r="J131" s="2225">
        <v>0</v>
      </c>
      <c r="K131" s="1219">
        <f t="shared" si="37"/>
        <v>2</v>
      </c>
      <c r="L131" s="1220" t="s">
        <v>1330</v>
      </c>
      <c r="M131" s="1213">
        <v>0</v>
      </c>
      <c r="N131" s="1213">
        <v>13</v>
      </c>
      <c r="O131" s="1213">
        <v>19</v>
      </c>
      <c r="P131" s="1213">
        <v>6</v>
      </c>
      <c r="Q131" s="1213">
        <v>31</v>
      </c>
      <c r="R131" s="1213">
        <v>0</v>
      </c>
      <c r="S131" s="1213">
        <v>0</v>
      </c>
      <c r="T131" s="2191">
        <f t="shared" si="38"/>
        <v>69</v>
      </c>
      <c r="U131" s="3406"/>
      <c r="V131" s="3405"/>
      <c r="W131" s="1252">
        <f t="shared" si="40"/>
        <v>0</v>
      </c>
      <c r="X131" s="1230"/>
      <c r="Y131" s="1231"/>
      <c r="Z131" s="1254"/>
      <c r="AA131" s="1252"/>
      <c r="AB131" s="1252"/>
    </row>
    <row r="132" spans="1:29" ht="12.75" customHeight="1">
      <c r="B132" s="3427" t="s">
        <v>85</v>
      </c>
      <c r="C132" s="2473" t="s">
        <v>1328</v>
      </c>
      <c r="D132" s="2222">
        <v>11</v>
      </c>
      <c r="E132" s="2222">
        <v>12</v>
      </c>
      <c r="F132" s="2223">
        <v>0</v>
      </c>
      <c r="G132" s="2223">
        <v>4</v>
      </c>
      <c r="H132" s="2223">
        <v>7</v>
      </c>
      <c r="I132" s="2222">
        <v>51</v>
      </c>
      <c r="J132" s="2223">
        <v>27</v>
      </c>
      <c r="K132" s="2186">
        <f t="shared" si="37"/>
        <v>112</v>
      </c>
      <c r="L132" s="2226" t="s">
        <v>1317</v>
      </c>
      <c r="M132" s="1241">
        <v>0</v>
      </c>
      <c r="N132" s="1241">
        <v>11</v>
      </c>
      <c r="O132" s="1241">
        <v>33</v>
      </c>
      <c r="P132" s="1241">
        <v>5</v>
      </c>
      <c r="Q132" s="1241">
        <v>6</v>
      </c>
      <c r="R132" s="1241">
        <v>0</v>
      </c>
      <c r="S132" s="1241">
        <v>0</v>
      </c>
      <c r="T132" s="1222">
        <f t="shared" si="38"/>
        <v>55</v>
      </c>
      <c r="U132" s="3406">
        <f>+T132+T133</f>
        <v>120</v>
      </c>
      <c r="V132" s="3405">
        <f>+K132+K133</f>
        <v>120</v>
      </c>
      <c r="W132" s="1252">
        <f t="shared" si="40"/>
        <v>0</v>
      </c>
      <c r="X132" s="3404"/>
      <c r="Y132" s="1231"/>
      <c r="Z132" s="1254"/>
      <c r="AA132" s="1252"/>
      <c r="AB132" s="1252"/>
    </row>
    <row r="133" spans="1:29" ht="12.75" customHeight="1">
      <c r="B133" s="3434"/>
      <c r="C133" s="2474" t="s">
        <v>1329</v>
      </c>
      <c r="D133" s="2224">
        <v>0</v>
      </c>
      <c r="E133" s="2224">
        <v>4</v>
      </c>
      <c r="F133" s="2225">
        <v>0</v>
      </c>
      <c r="G133" s="2225">
        <v>0</v>
      </c>
      <c r="H133" s="2225">
        <v>0</v>
      </c>
      <c r="I133" s="2224">
        <v>4</v>
      </c>
      <c r="J133" s="2225">
        <v>0</v>
      </c>
      <c r="K133" s="1226">
        <f t="shared" si="37"/>
        <v>8</v>
      </c>
      <c r="L133" s="2227" t="s">
        <v>1330</v>
      </c>
      <c r="M133" s="1213">
        <v>0</v>
      </c>
      <c r="N133" s="1213">
        <v>13</v>
      </c>
      <c r="O133" s="1213">
        <v>26</v>
      </c>
      <c r="P133" s="1213">
        <v>20</v>
      </c>
      <c r="Q133" s="1213">
        <v>6</v>
      </c>
      <c r="R133" s="1213">
        <v>0</v>
      </c>
      <c r="S133" s="1213">
        <v>0</v>
      </c>
      <c r="T133" s="2191">
        <f t="shared" si="38"/>
        <v>65</v>
      </c>
      <c r="U133" s="3406"/>
      <c r="V133" s="3405"/>
      <c r="W133" s="1252">
        <f t="shared" si="40"/>
        <v>0</v>
      </c>
      <c r="X133" s="3404"/>
      <c r="Y133" s="1231"/>
      <c r="Z133" s="1254"/>
      <c r="AA133" s="1252"/>
      <c r="AB133" s="1252"/>
    </row>
    <row r="134" spans="1:29" ht="16.5" customHeight="1">
      <c r="A134" s="1249">
        <f>+K134+K135</f>
        <v>214</v>
      </c>
      <c r="B134" s="3434" t="s">
        <v>84</v>
      </c>
      <c r="C134" s="2473" t="s">
        <v>1328</v>
      </c>
      <c r="D134" s="2222">
        <v>31</v>
      </c>
      <c r="E134" s="2222">
        <v>35</v>
      </c>
      <c r="F134" s="2223">
        <v>0</v>
      </c>
      <c r="G134" s="2223">
        <v>2</v>
      </c>
      <c r="H134" s="2223">
        <v>6</v>
      </c>
      <c r="I134" s="2222">
        <v>60</v>
      </c>
      <c r="J134" s="2223">
        <v>74</v>
      </c>
      <c r="K134" s="2186">
        <f t="shared" si="37"/>
        <v>208</v>
      </c>
      <c r="L134" s="2226" t="s">
        <v>1317</v>
      </c>
      <c r="M134" s="1211">
        <v>0</v>
      </c>
      <c r="N134" s="1211">
        <v>6</v>
      </c>
      <c r="O134" s="1211">
        <v>21</v>
      </c>
      <c r="P134" s="1211">
        <v>17</v>
      </c>
      <c r="Q134" s="1211">
        <v>17</v>
      </c>
      <c r="R134" s="1211">
        <v>1</v>
      </c>
      <c r="S134" s="1211">
        <v>0</v>
      </c>
      <c r="T134" s="2188">
        <f t="shared" si="38"/>
        <v>62</v>
      </c>
      <c r="U134" s="3406">
        <f>+T134+T135</f>
        <v>214</v>
      </c>
      <c r="V134" s="3405">
        <f>+K134+K135</f>
        <v>214</v>
      </c>
      <c r="W134" s="1252">
        <f t="shared" si="40"/>
        <v>0</v>
      </c>
      <c r="X134" s="3404"/>
      <c r="Y134" s="1230"/>
      <c r="Z134" s="1254"/>
      <c r="AA134" s="1252"/>
      <c r="AB134" s="1252"/>
    </row>
    <row r="135" spans="1:29" ht="13.5" customHeight="1">
      <c r="B135" s="3434"/>
      <c r="C135" s="2474" t="s">
        <v>1329</v>
      </c>
      <c r="D135" s="2224">
        <v>2</v>
      </c>
      <c r="E135" s="2224">
        <v>2</v>
      </c>
      <c r="F135" s="2225">
        <v>0</v>
      </c>
      <c r="G135" s="2225">
        <v>0</v>
      </c>
      <c r="H135" s="2225">
        <v>0</v>
      </c>
      <c r="I135" s="2224">
        <v>2</v>
      </c>
      <c r="J135" s="2225">
        <v>0</v>
      </c>
      <c r="K135" s="1226">
        <f t="shared" si="37"/>
        <v>6</v>
      </c>
      <c r="L135" s="2227" t="s">
        <v>1330</v>
      </c>
      <c r="M135" s="1213">
        <v>0</v>
      </c>
      <c r="N135" s="1213">
        <v>17</v>
      </c>
      <c r="O135" s="1213">
        <v>56</v>
      </c>
      <c r="P135" s="1213">
        <v>45</v>
      </c>
      <c r="Q135" s="1213">
        <v>33</v>
      </c>
      <c r="R135" s="1213">
        <v>1</v>
      </c>
      <c r="S135" s="1213">
        <v>0</v>
      </c>
      <c r="T135" s="2191">
        <f t="shared" si="38"/>
        <v>152</v>
      </c>
      <c r="U135" s="3406"/>
      <c r="V135" s="3405"/>
      <c r="W135" s="1252">
        <f t="shared" si="40"/>
        <v>0</v>
      </c>
      <c r="X135" s="3404"/>
      <c r="Y135" s="1230"/>
      <c r="Z135" s="1254"/>
      <c r="AA135" s="1252"/>
      <c r="AB135" s="1252"/>
    </row>
    <row r="136" spans="1:29" ht="13.5" customHeight="1">
      <c r="B136" s="3434" t="s">
        <v>88</v>
      </c>
      <c r="C136" s="2473" t="s">
        <v>1328</v>
      </c>
      <c r="D136" s="2222">
        <v>0</v>
      </c>
      <c r="E136" s="2222">
        <v>0</v>
      </c>
      <c r="F136" s="2223">
        <v>0</v>
      </c>
      <c r="G136" s="2223">
        <v>1</v>
      </c>
      <c r="H136" s="2223">
        <v>0</v>
      </c>
      <c r="I136" s="2222">
        <v>0</v>
      </c>
      <c r="J136" s="2223">
        <v>0</v>
      </c>
      <c r="K136" s="2186">
        <f t="shared" si="37"/>
        <v>1</v>
      </c>
      <c r="L136" s="2226" t="s">
        <v>1317</v>
      </c>
      <c r="M136" s="1241">
        <v>0</v>
      </c>
      <c r="N136" s="1241">
        <v>0</v>
      </c>
      <c r="O136" s="1241">
        <v>0</v>
      </c>
      <c r="P136" s="1241">
        <v>0</v>
      </c>
      <c r="Q136" s="1241">
        <v>0</v>
      </c>
      <c r="R136" s="1241">
        <v>0</v>
      </c>
      <c r="S136" s="1241">
        <v>0</v>
      </c>
      <c r="T136" s="2188">
        <f t="shared" si="38"/>
        <v>0</v>
      </c>
      <c r="U136" s="3406">
        <f>+T136+T137</f>
        <v>1</v>
      </c>
      <c r="V136" s="3405">
        <f>+K136+K137</f>
        <v>1</v>
      </c>
      <c r="W136" s="1252">
        <f t="shared" si="40"/>
        <v>0</v>
      </c>
      <c r="X136" s="1230"/>
      <c r="Y136" s="1230"/>
      <c r="Z136" s="1252"/>
      <c r="AA136" s="1252"/>
      <c r="AB136" s="1252"/>
    </row>
    <row r="137" spans="1:29" ht="13.5" customHeight="1">
      <c r="B137" s="3434"/>
      <c r="C137" s="2474" t="s">
        <v>1329</v>
      </c>
      <c r="D137" s="2224">
        <v>0</v>
      </c>
      <c r="E137" s="2224">
        <v>0</v>
      </c>
      <c r="F137" s="2225">
        <v>0</v>
      </c>
      <c r="G137" s="2225">
        <v>0</v>
      </c>
      <c r="H137" s="2225">
        <v>0</v>
      </c>
      <c r="I137" s="2224">
        <v>0</v>
      </c>
      <c r="J137" s="2225">
        <v>0</v>
      </c>
      <c r="K137" s="1226">
        <f t="shared" si="37"/>
        <v>0</v>
      </c>
      <c r="L137" s="2227" t="s">
        <v>1330</v>
      </c>
      <c r="M137" s="1241">
        <v>0</v>
      </c>
      <c r="N137" s="1241">
        <v>1</v>
      </c>
      <c r="O137" s="1241">
        <v>0</v>
      </c>
      <c r="P137" s="1241">
        <v>0</v>
      </c>
      <c r="Q137" s="1241">
        <v>0</v>
      </c>
      <c r="R137" s="1241">
        <v>0</v>
      </c>
      <c r="S137" s="1241">
        <v>0</v>
      </c>
      <c r="T137" s="2191">
        <f t="shared" si="38"/>
        <v>1</v>
      </c>
      <c r="U137" s="3406"/>
      <c r="V137" s="3405"/>
      <c r="W137" s="1252">
        <f t="shared" si="40"/>
        <v>0</v>
      </c>
      <c r="X137" s="1230"/>
      <c r="Y137" s="1230"/>
      <c r="Z137" s="1252"/>
      <c r="AA137" s="1252"/>
      <c r="AB137" s="1252"/>
    </row>
    <row r="138" spans="1:29" ht="16.5" customHeight="1">
      <c r="B138" s="3434" t="s">
        <v>403</v>
      </c>
      <c r="C138" s="2473" t="s">
        <v>1328</v>
      </c>
      <c r="D138" s="2222">
        <v>4</v>
      </c>
      <c r="E138" s="2222">
        <v>12</v>
      </c>
      <c r="F138" s="2223">
        <v>0</v>
      </c>
      <c r="G138" s="2223">
        <v>7</v>
      </c>
      <c r="H138" s="2223">
        <v>11</v>
      </c>
      <c r="I138" s="2222">
        <v>47</v>
      </c>
      <c r="J138" s="2223">
        <v>31</v>
      </c>
      <c r="K138" s="2186">
        <f t="shared" si="37"/>
        <v>112</v>
      </c>
      <c r="L138" s="2187" t="s">
        <v>1317</v>
      </c>
      <c r="M138" s="1211">
        <v>0</v>
      </c>
      <c r="N138" s="1211">
        <v>7</v>
      </c>
      <c r="O138" s="1211">
        <v>15</v>
      </c>
      <c r="P138" s="1211">
        <v>16</v>
      </c>
      <c r="Q138" s="1211">
        <v>11</v>
      </c>
      <c r="R138" s="1211">
        <v>0</v>
      </c>
      <c r="S138" s="1211">
        <v>0</v>
      </c>
      <c r="T138" s="2188">
        <f t="shared" si="38"/>
        <v>49</v>
      </c>
      <c r="U138" s="3406">
        <f>+T138+T139</f>
        <v>120</v>
      </c>
      <c r="V138" s="3405">
        <f>+K138+K139</f>
        <v>120</v>
      </c>
      <c r="W138" s="1252">
        <f t="shared" si="40"/>
        <v>0</v>
      </c>
      <c r="X138" s="1252"/>
      <c r="Y138" s="1252"/>
      <c r="Z138" s="1252"/>
      <c r="AA138" s="1252"/>
      <c r="AB138" s="1252"/>
      <c r="AC138" s="1252"/>
    </row>
    <row r="139" spans="1:29" ht="15.75" customHeight="1" thickBot="1">
      <c r="B139" s="3434"/>
      <c r="C139" s="2474" t="s">
        <v>1329</v>
      </c>
      <c r="D139" s="2224">
        <v>0</v>
      </c>
      <c r="E139" s="2224">
        <v>4</v>
      </c>
      <c r="F139" s="2225">
        <v>0</v>
      </c>
      <c r="G139" s="2225">
        <v>0</v>
      </c>
      <c r="H139" s="2225">
        <v>2</v>
      </c>
      <c r="I139" s="2224">
        <v>2</v>
      </c>
      <c r="J139" s="2225">
        <v>0</v>
      </c>
      <c r="K139" s="1219">
        <f t="shared" si="37"/>
        <v>8</v>
      </c>
      <c r="L139" s="1305" t="s">
        <v>1330</v>
      </c>
      <c r="M139" s="1241">
        <v>0</v>
      </c>
      <c r="N139" s="1241">
        <v>15</v>
      </c>
      <c r="O139" s="1241">
        <v>21</v>
      </c>
      <c r="P139" s="1241">
        <v>25</v>
      </c>
      <c r="Q139" s="1241">
        <v>9</v>
      </c>
      <c r="R139" s="1241">
        <v>0</v>
      </c>
      <c r="S139" s="1241">
        <v>1</v>
      </c>
      <c r="T139" s="2228">
        <f t="shared" si="38"/>
        <v>71</v>
      </c>
      <c r="U139" s="3406"/>
      <c r="V139" s="3405"/>
      <c r="W139" s="1252">
        <f t="shared" si="40"/>
        <v>0</v>
      </c>
    </row>
    <row r="140" spans="1:29" ht="21" customHeight="1">
      <c r="B140" s="3392" t="s">
        <v>423</v>
      </c>
      <c r="C140" s="2479" t="s">
        <v>1328</v>
      </c>
      <c r="D140" s="1245">
        <f>+D138+D136+D134+D132+D130+D128+D126+D124+D122+D118+D116+D114+D112+D110+D108+D106+D104+D102+D100+D98+D120</f>
        <v>614</v>
      </c>
      <c r="E140" s="1245">
        <f t="shared" ref="E140:K141" si="41">+E138+E136+E134+E132+E130+E128+E126+E124+E122+E118+E116+E114+E112+E110+E108+E106+E104+E102+E100+E98+E120</f>
        <v>376</v>
      </c>
      <c r="F140" s="1245">
        <f>+F138+F136+F134+F132+F130+F128+F126+F124+F122+F118+F116+F114+F112+F110+F108+F106+F104+F102+F100+F98+F120</f>
        <v>4</v>
      </c>
      <c r="G140" s="1245">
        <f t="shared" si="41"/>
        <v>147</v>
      </c>
      <c r="H140" s="1245">
        <f t="shared" si="41"/>
        <v>404</v>
      </c>
      <c r="I140" s="1245">
        <f t="shared" si="41"/>
        <v>2626</v>
      </c>
      <c r="J140" s="1245">
        <f t="shared" si="41"/>
        <v>812</v>
      </c>
      <c r="K140" s="1245">
        <f t="shared" si="41"/>
        <v>4983</v>
      </c>
      <c r="L140" s="2229" t="s">
        <v>1317</v>
      </c>
      <c r="M140" s="1245">
        <f t="shared" ref="M140:S141" si="42">+M138+M136+M134+M132+M130+M128+M126+M124+M122+M118+M116+M114+M112+M110+M108+M106+M104+M102+M100+M98+M120</f>
        <v>2</v>
      </c>
      <c r="N140" s="1245">
        <f t="shared" si="42"/>
        <v>276</v>
      </c>
      <c r="O140" s="1245">
        <f t="shared" si="42"/>
        <v>914</v>
      </c>
      <c r="P140" s="1245">
        <f t="shared" si="42"/>
        <v>779</v>
      </c>
      <c r="Q140" s="1245">
        <f t="shared" si="42"/>
        <v>677</v>
      </c>
      <c r="R140" s="1245">
        <f t="shared" si="42"/>
        <v>56</v>
      </c>
      <c r="S140" s="1245">
        <f t="shared" si="42"/>
        <v>3</v>
      </c>
      <c r="T140" s="2230">
        <f t="shared" si="38"/>
        <v>2707</v>
      </c>
      <c r="U140" s="3406">
        <f>+T140+T141</f>
        <v>5172</v>
      </c>
      <c r="V140" s="3405">
        <f>+T140+T141</f>
        <v>5172</v>
      </c>
    </row>
    <row r="141" spans="1:29" ht="20.25" customHeight="1" thickBot="1">
      <c r="B141" s="3433"/>
      <c r="C141" s="2480" t="s">
        <v>1329</v>
      </c>
      <c r="D141" s="1246">
        <f>+D139+D137+D135+D133+D131+D129+D127+D125+D123+D119+D117+D115+D113+D111+D109+D107+D105+D103+D101+D99+D121</f>
        <v>22</v>
      </c>
      <c r="E141" s="1246">
        <f t="shared" si="41"/>
        <v>66</v>
      </c>
      <c r="F141" s="1246">
        <f>+F139+F137+F135+F133+F131+F129+F127+F125+F123+F119+F117+F115+F113+F111+F109+F107+F105+F103+F101+F99+F121</f>
        <v>1</v>
      </c>
      <c r="G141" s="1246">
        <f t="shared" si="41"/>
        <v>11</v>
      </c>
      <c r="H141" s="1246">
        <f t="shared" si="41"/>
        <v>8</v>
      </c>
      <c r="I141" s="1246">
        <f t="shared" si="41"/>
        <v>81</v>
      </c>
      <c r="J141" s="1246">
        <f t="shared" si="41"/>
        <v>0</v>
      </c>
      <c r="K141" s="1246">
        <f t="shared" si="41"/>
        <v>189</v>
      </c>
      <c r="L141" s="2231" t="s">
        <v>1330</v>
      </c>
      <c r="M141" s="1246">
        <f t="shared" si="42"/>
        <v>4</v>
      </c>
      <c r="N141" s="1246">
        <f t="shared" si="42"/>
        <v>394</v>
      </c>
      <c r="O141" s="1246">
        <f t="shared" si="42"/>
        <v>739</v>
      </c>
      <c r="P141" s="1246">
        <f t="shared" si="42"/>
        <v>683</v>
      </c>
      <c r="Q141" s="1246">
        <f t="shared" si="42"/>
        <v>611</v>
      </c>
      <c r="R141" s="1246">
        <f t="shared" si="42"/>
        <v>27</v>
      </c>
      <c r="S141" s="1246">
        <f t="shared" si="42"/>
        <v>7</v>
      </c>
      <c r="T141" s="2232">
        <f t="shared" si="38"/>
        <v>2465</v>
      </c>
      <c r="U141" s="3406"/>
      <c r="V141" s="3405"/>
    </row>
    <row r="142" spans="1:29" ht="16.5" thickBot="1">
      <c r="B142" s="3437" t="s">
        <v>1059</v>
      </c>
      <c r="C142" s="3438"/>
      <c r="D142" s="2233">
        <f t="shared" ref="D142:K142" si="43">+D140+D141</f>
        <v>636</v>
      </c>
      <c r="E142" s="2233">
        <f t="shared" si="43"/>
        <v>442</v>
      </c>
      <c r="F142" s="2233">
        <f t="shared" si="43"/>
        <v>5</v>
      </c>
      <c r="G142" s="2233">
        <f t="shared" si="43"/>
        <v>158</v>
      </c>
      <c r="H142" s="2233">
        <f t="shared" si="43"/>
        <v>412</v>
      </c>
      <c r="I142" s="2233">
        <f t="shared" si="43"/>
        <v>2707</v>
      </c>
      <c r="J142" s="2233">
        <f t="shared" si="43"/>
        <v>812</v>
      </c>
      <c r="K142" s="2234">
        <f t="shared" si="43"/>
        <v>5172</v>
      </c>
      <c r="L142" s="2235"/>
      <c r="M142" s="1256">
        <f t="shared" ref="M142:T142" si="44">+M140+M141</f>
        <v>6</v>
      </c>
      <c r="N142" s="2236">
        <f t="shared" si="44"/>
        <v>670</v>
      </c>
      <c r="O142" s="1256">
        <f t="shared" si="44"/>
        <v>1653</v>
      </c>
      <c r="P142" s="2236">
        <f t="shared" si="44"/>
        <v>1462</v>
      </c>
      <c r="Q142" s="1256">
        <f t="shared" si="44"/>
        <v>1288</v>
      </c>
      <c r="R142" s="2236">
        <f t="shared" si="44"/>
        <v>83</v>
      </c>
      <c r="S142" s="1256">
        <f t="shared" si="44"/>
        <v>10</v>
      </c>
      <c r="T142" s="2237">
        <f t="shared" si="44"/>
        <v>5172</v>
      </c>
      <c r="U142" s="1257"/>
    </row>
    <row r="143" spans="1:29" ht="21">
      <c r="B143" s="3439"/>
      <c r="C143" s="3439"/>
      <c r="D143" s="3439"/>
      <c r="E143" s="3439"/>
      <c r="F143" s="3439"/>
      <c r="G143" s="3439"/>
      <c r="H143" s="3439"/>
      <c r="U143" s="1258"/>
    </row>
    <row r="144" spans="1:29">
      <c r="K144" s="1204">
        <f>SUM(K98:K139)</f>
        <v>5172</v>
      </c>
      <c r="V144" s="1252"/>
    </row>
    <row r="145" spans="1:29" ht="57.75" thickBot="1">
      <c r="B145" s="1204" t="s">
        <v>302</v>
      </c>
      <c r="V145" s="1252"/>
      <c r="W145" s="1259" t="s">
        <v>1394</v>
      </c>
      <c r="X145" s="1260" t="s">
        <v>1322</v>
      </c>
      <c r="Y145" s="1260" t="s">
        <v>1323</v>
      </c>
      <c r="Z145" s="1260" t="s">
        <v>1324</v>
      </c>
      <c r="AA145" s="1206" t="s">
        <v>1325</v>
      </c>
      <c r="AB145" s="1207" t="s">
        <v>1395</v>
      </c>
    </row>
    <row r="146" spans="1:29">
      <c r="B146" s="1261"/>
      <c r="C146" s="1261"/>
      <c r="D146" s="1261"/>
      <c r="E146" s="1261"/>
      <c r="F146" s="1261"/>
      <c r="G146" s="1261"/>
      <c r="H146" s="1261"/>
      <c r="I146" s="1261"/>
      <c r="J146" s="1261"/>
      <c r="K146" s="1261"/>
      <c r="L146" s="1261"/>
      <c r="M146" s="1261"/>
      <c r="N146" s="1261"/>
      <c r="O146" s="1262"/>
      <c r="P146" s="1261"/>
      <c r="Q146" s="1262"/>
      <c r="R146" s="1261"/>
      <c r="S146" s="1261"/>
      <c r="T146" s="1261"/>
      <c r="V146" s="1263"/>
      <c r="W146" s="1263"/>
      <c r="X146" s="1263"/>
      <c r="Y146" s="1252"/>
    </row>
    <row r="147" spans="1:29" ht="21.75" thickBot="1">
      <c r="B147" s="3391" t="s">
        <v>1396</v>
      </c>
      <c r="C147" s="3391"/>
      <c r="D147" s="3391"/>
      <c r="E147" s="3391"/>
      <c r="F147" s="3391"/>
      <c r="G147" s="3391"/>
      <c r="H147" s="3391"/>
      <c r="I147" s="3391"/>
      <c r="J147" s="3391"/>
      <c r="K147" s="3391"/>
      <c r="L147" s="3391"/>
      <c r="M147" s="3391"/>
      <c r="N147" s="3391"/>
      <c r="O147" s="3391"/>
      <c r="P147" s="3391"/>
      <c r="Q147" s="3391"/>
      <c r="R147" s="3391"/>
      <c r="S147" s="3391"/>
      <c r="T147" s="3391"/>
      <c r="V147" s="1263"/>
      <c r="W147" s="1263"/>
      <c r="X147" s="1263"/>
      <c r="Y147" s="1252"/>
      <c r="Z147" s="1252"/>
      <c r="AA147" s="1252"/>
      <c r="AB147" s="1252"/>
    </row>
    <row r="148" spans="1:29" ht="18" customHeight="1">
      <c r="B148" s="3448" t="s">
        <v>1307</v>
      </c>
      <c r="C148" s="3450" t="s">
        <v>1308</v>
      </c>
      <c r="D148" s="3448" t="s">
        <v>1309</v>
      </c>
      <c r="E148" s="3452"/>
      <c r="F148" s="3452"/>
      <c r="G148" s="3452"/>
      <c r="H148" s="3452"/>
      <c r="I148" s="3452"/>
      <c r="J148" s="3452"/>
      <c r="K148" s="3453"/>
      <c r="L148" s="3454" t="s">
        <v>1310</v>
      </c>
      <c r="M148" s="3456" t="s">
        <v>1311</v>
      </c>
      <c r="N148" s="3456"/>
      <c r="O148" s="3456"/>
      <c r="P148" s="3456"/>
      <c r="Q148" s="3456"/>
      <c r="R148" s="3456"/>
      <c r="S148" s="3456"/>
      <c r="T148" s="3435" t="s">
        <v>49</v>
      </c>
      <c r="V148" s="1263"/>
      <c r="W148" s="1263"/>
      <c r="X148" s="1263"/>
      <c r="Y148" s="1252"/>
      <c r="Z148" s="1252"/>
      <c r="AA148" s="1252"/>
      <c r="AB148" s="1252"/>
      <c r="AC148" s="1263"/>
    </row>
    <row r="149" spans="1:29" ht="63.75" thickBot="1">
      <c r="B149" s="3449"/>
      <c r="C149" s="3451"/>
      <c r="D149" s="1264" t="s">
        <v>1382</v>
      </c>
      <c r="E149" s="1265" t="s">
        <v>1383</v>
      </c>
      <c r="F149" s="1266" t="s">
        <v>1384</v>
      </c>
      <c r="G149" s="1266" t="s">
        <v>1315</v>
      </c>
      <c r="H149" s="1266" t="s">
        <v>1316</v>
      </c>
      <c r="I149" s="1267" t="s">
        <v>1317</v>
      </c>
      <c r="J149" s="1266" t="s">
        <v>1318</v>
      </c>
      <c r="K149" s="1268" t="s">
        <v>1319</v>
      </c>
      <c r="L149" s="3455"/>
      <c r="M149" s="1266" t="s">
        <v>1320</v>
      </c>
      <c r="N149" s="1269" t="s">
        <v>1321</v>
      </c>
      <c r="O149" s="1270" t="s">
        <v>1322</v>
      </c>
      <c r="P149" s="1266" t="s">
        <v>1323</v>
      </c>
      <c r="Q149" s="1270" t="s">
        <v>1324</v>
      </c>
      <c r="R149" s="1271" t="s">
        <v>1325</v>
      </c>
      <c r="S149" s="1269" t="s">
        <v>1326</v>
      </c>
      <c r="T149" s="3436"/>
      <c r="U149" s="1249"/>
      <c r="V149" s="1272"/>
      <c r="W149" s="1273"/>
      <c r="X149" s="1273"/>
      <c r="Y149" s="1273"/>
      <c r="Z149" s="1252"/>
      <c r="AA149" s="1252"/>
      <c r="AB149" s="1252"/>
    </row>
    <row r="150" spans="1:29" ht="22.5">
      <c r="B150" s="3440" t="s">
        <v>1397</v>
      </c>
      <c r="C150" s="1200" t="s">
        <v>1328</v>
      </c>
      <c r="D150" s="1274">
        <f t="shared" ref="D150:J151" si="45">D87</f>
        <v>62</v>
      </c>
      <c r="E150" s="1274">
        <f t="shared" si="45"/>
        <v>317</v>
      </c>
      <c r="F150" s="1274">
        <f>F87</f>
        <v>13</v>
      </c>
      <c r="G150" s="1274">
        <f>G87</f>
        <v>238</v>
      </c>
      <c r="H150" s="1274">
        <f t="shared" si="45"/>
        <v>147</v>
      </c>
      <c r="I150" s="1274">
        <f t="shared" si="45"/>
        <v>259</v>
      </c>
      <c r="J150" s="1274">
        <f t="shared" si="45"/>
        <v>26</v>
      </c>
      <c r="K150" s="1275">
        <f>SUM(D150:J150)</f>
        <v>1062</v>
      </c>
      <c r="L150" s="1234" t="s">
        <v>1317</v>
      </c>
      <c r="M150" s="1276">
        <f t="shared" ref="M150:S151" si="46">M87</f>
        <v>9</v>
      </c>
      <c r="N150" s="1276">
        <f t="shared" si="46"/>
        <v>121</v>
      </c>
      <c r="O150" s="1277">
        <f t="shared" si="46"/>
        <v>161</v>
      </c>
      <c r="P150" s="1276">
        <f t="shared" si="46"/>
        <v>25</v>
      </c>
      <c r="Q150" s="1277">
        <f t="shared" si="46"/>
        <v>11</v>
      </c>
      <c r="R150" s="1276">
        <f t="shared" si="46"/>
        <v>1</v>
      </c>
      <c r="S150" s="1276">
        <f t="shared" si="46"/>
        <v>0</v>
      </c>
      <c r="T150" s="1278">
        <f>SUM(M150:S150)</f>
        <v>328</v>
      </c>
      <c r="U150" s="1279"/>
      <c r="V150" s="1272" t="s">
        <v>1398</v>
      </c>
      <c r="W150" s="1273">
        <f>+M154+N154</f>
        <v>408</v>
      </c>
      <c r="X150" s="1273">
        <f t="shared" ref="X150:AB151" si="47">O154</f>
        <v>1075</v>
      </c>
      <c r="Y150" s="1273">
        <f t="shared" si="47"/>
        <v>804</v>
      </c>
      <c r="Z150" s="1273">
        <f t="shared" si="47"/>
        <v>688</v>
      </c>
      <c r="AA150" s="1273">
        <f t="shared" si="47"/>
        <v>57</v>
      </c>
      <c r="AB150" s="1273">
        <f t="shared" si="47"/>
        <v>3</v>
      </c>
    </row>
    <row r="151" spans="1:29" ht="22.5">
      <c r="B151" s="3412"/>
      <c r="C151" s="1240" t="s">
        <v>1329</v>
      </c>
      <c r="D151" s="1280">
        <f t="shared" si="45"/>
        <v>41</v>
      </c>
      <c r="E151" s="1280">
        <f t="shared" si="45"/>
        <v>177</v>
      </c>
      <c r="F151" s="1280">
        <f>F88</f>
        <v>1</v>
      </c>
      <c r="G151" s="1280">
        <f t="shared" si="45"/>
        <v>60</v>
      </c>
      <c r="H151" s="1280">
        <f t="shared" si="45"/>
        <v>8</v>
      </c>
      <c r="I151" s="1280">
        <f t="shared" si="45"/>
        <v>69</v>
      </c>
      <c r="J151" s="1280">
        <f t="shared" si="45"/>
        <v>2</v>
      </c>
      <c r="K151" s="1281">
        <f>SUM(D151:J151)</f>
        <v>358</v>
      </c>
      <c r="L151" s="1231" t="s">
        <v>1330</v>
      </c>
      <c r="M151" s="1282">
        <f t="shared" si="46"/>
        <v>23</v>
      </c>
      <c r="N151" s="1282">
        <f t="shared" si="46"/>
        <v>378</v>
      </c>
      <c r="O151" s="1283">
        <f t="shared" si="46"/>
        <v>554</v>
      </c>
      <c r="P151" s="1282">
        <f t="shared" si="46"/>
        <v>63</v>
      </c>
      <c r="Q151" s="1283">
        <f t="shared" si="46"/>
        <v>69</v>
      </c>
      <c r="R151" s="1282">
        <f t="shared" si="46"/>
        <v>3</v>
      </c>
      <c r="S151" s="1282">
        <f t="shared" si="46"/>
        <v>2</v>
      </c>
      <c r="T151" s="1284">
        <f>SUM(M151:S151)</f>
        <v>1092</v>
      </c>
      <c r="U151" s="1279"/>
      <c r="V151" s="1272" t="s">
        <v>1386</v>
      </c>
      <c r="W151" s="1273">
        <f>+M155+N155</f>
        <v>799</v>
      </c>
      <c r="X151" s="1273">
        <f t="shared" si="47"/>
        <v>1293</v>
      </c>
      <c r="Y151" s="1273">
        <f t="shared" si="47"/>
        <v>746</v>
      </c>
      <c r="Z151" s="1273">
        <f t="shared" si="47"/>
        <v>680</v>
      </c>
      <c r="AA151" s="1273">
        <f t="shared" si="47"/>
        <v>30</v>
      </c>
      <c r="AB151" s="1273">
        <f t="shared" si="47"/>
        <v>9</v>
      </c>
    </row>
    <row r="152" spans="1:29">
      <c r="B152" s="3441" t="s">
        <v>1399</v>
      </c>
      <c r="C152" s="1199" t="s">
        <v>1328</v>
      </c>
      <c r="D152" s="1285">
        <f t="shared" ref="D152:J153" si="48">D140</f>
        <v>614</v>
      </c>
      <c r="E152" s="1285">
        <f t="shared" si="48"/>
        <v>376</v>
      </c>
      <c r="F152" s="1285">
        <f>F140</f>
        <v>4</v>
      </c>
      <c r="G152" s="1285">
        <f t="shared" si="48"/>
        <v>147</v>
      </c>
      <c r="H152" s="1285">
        <f t="shared" si="48"/>
        <v>404</v>
      </c>
      <c r="I152" s="1285">
        <f t="shared" si="48"/>
        <v>2626</v>
      </c>
      <c r="J152" s="1285">
        <f t="shared" si="48"/>
        <v>812</v>
      </c>
      <c r="K152" s="1286">
        <f>SUM(D152:J152)</f>
        <v>4983</v>
      </c>
      <c r="L152" s="1210" t="s">
        <v>1317</v>
      </c>
      <c r="M152" s="1287">
        <f t="shared" ref="M152:S153" si="49">M140</f>
        <v>2</v>
      </c>
      <c r="N152" s="1287">
        <f t="shared" si="49"/>
        <v>276</v>
      </c>
      <c r="O152" s="1288">
        <f t="shared" si="49"/>
        <v>914</v>
      </c>
      <c r="P152" s="1287">
        <f t="shared" si="49"/>
        <v>779</v>
      </c>
      <c r="Q152" s="1288">
        <f t="shared" si="49"/>
        <v>677</v>
      </c>
      <c r="R152" s="1287">
        <f t="shared" si="49"/>
        <v>56</v>
      </c>
      <c r="S152" s="1287">
        <f t="shared" si="49"/>
        <v>3</v>
      </c>
      <c r="T152" s="1289">
        <f>SUM(M152:S152)</f>
        <v>2707</v>
      </c>
      <c r="U152" s="1290"/>
      <c r="V152" s="1273"/>
      <c r="W152" s="1273">
        <f t="shared" ref="W152:AB152" si="50">SUM(W150:W151)</f>
        <v>1207</v>
      </c>
      <c r="X152" s="1273">
        <f t="shared" si="50"/>
        <v>2368</v>
      </c>
      <c r="Y152" s="1273">
        <f t="shared" si="50"/>
        <v>1550</v>
      </c>
      <c r="Z152" s="1273">
        <f t="shared" si="50"/>
        <v>1368</v>
      </c>
      <c r="AA152" s="1273">
        <f t="shared" si="50"/>
        <v>87</v>
      </c>
      <c r="AB152" s="1273">
        <f t="shared" si="50"/>
        <v>12</v>
      </c>
    </row>
    <row r="153" spans="1:29" ht="18" customHeight="1" thickBot="1">
      <c r="B153" s="3442"/>
      <c r="C153" s="1202" t="s">
        <v>1329</v>
      </c>
      <c r="D153" s="1291">
        <f t="shared" si="48"/>
        <v>22</v>
      </c>
      <c r="E153" s="1291">
        <f t="shared" si="48"/>
        <v>66</v>
      </c>
      <c r="F153" s="1291">
        <f>F141</f>
        <v>1</v>
      </c>
      <c r="G153" s="1291">
        <f t="shared" si="48"/>
        <v>11</v>
      </c>
      <c r="H153" s="1291">
        <f t="shared" si="48"/>
        <v>8</v>
      </c>
      <c r="I153" s="1291">
        <f t="shared" si="48"/>
        <v>81</v>
      </c>
      <c r="J153" s="1291">
        <f t="shared" si="48"/>
        <v>0</v>
      </c>
      <c r="K153" s="1286">
        <f>SUM(D153:J153)</f>
        <v>189</v>
      </c>
      <c r="L153" s="1231" t="s">
        <v>1330</v>
      </c>
      <c r="M153" s="1292">
        <f t="shared" si="49"/>
        <v>4</v>
      </c>
      <c r="N153" s="1292">
        <f t="shared" si="49"/>
        <v>394</v>
      </c>
      <c r="O153" s="1293">
        <f t="shared" si="49"/>
        <v>739</v>
      </c>
      <c r="P153" s="1292">
        <f t="shared" si="49"/>
        <v>683</v>
      </c>
      <c r="Q153" s="1293">
        <f t="shared" si="49"/>
        <v>611</v>
      </c>
      <c r="R153" s="1292">
        <f t="shared" si="49"/>
        <v>27</v>
      </c>
      <c r="S153" s="1292">
        <f t="shared" si="49"/>
        <v>7</v>
      </c>
      <c r="T153" s="1284">
        <f>SUM(M153:S153)</f>
        <v>2465</v>
      </c>
      <c r="U153" s="1249"/>
      <c r="V153" s="1249"/>
      <c r="W153" s="1204">
        <f>SUM(W152:AB152)</f>
        <v>6592</v>
      </c>
      <c r="Y153" s="1204">
        <f>+Y152/W153</f>
        <v>0.23513349514563106</v>
      </c>
      <c r="AA153" s="1294">
        <f>+AA152/W153</f>
        <v>1.3197815533980582E-2</v>
      </c>
      <c r="AB153" s="1295">
        <f>+AB152/W153</f>
        <v>1.8203883495145632E-3</v>
      </c>
    </row>
    <row r="154" spans="1:29" ht="18" customHeight="1">
      <c r="A154" s="3420">
        <v>89</v>
      </c>
      <c r="B154" s="3443" t="s">
        <v>1400</v>
      </c>
      <c r="C154" s="1296" t="s">
        <v>1328</v>
      </c>
      <c r="D154" s="1297">
        <f t="shared" ref="D154:K155" si="51">+D150+D152</f>
        <v>676</v>
      </c>
      <c r="E154" s="1297">
        <f t="shared" si="51"/>
        <v>693</v>
      </c>
      <c r="F154" s="1297">
        <f>+F150+F152</f>
        <v>17</v>
      </c>
      <c r="G154" s="1297">
        <f t="shared" si="51"/>
        <v>385</v>
      </c>
      <c r="H154" s="1297">
        <f t="shared" si="51"/>
        <v>551</v>
      </c>
      <c r="I154" s="1297">
        <f t="shared" si="51"/>
        <v>2885</v>
      </c>
      <c r="J154" s="1297">
        <f t="shared" si="51"/>
        <v>838</v>
      </c>
      <c r="K154" s="1298">
        <f t="shared" si="51"/>
        <v>6045</v>
      </c>
      <c r="L154" s="1299" t="s">
        <v>1317</v>
      </c>
      <c r="M154" s="1300">
        <f t="shared" ref="M154:S155" si="52">+M150+M152</f>
        <v>11</v>
      </c>
      <c r="N154" s="1300">
        <f t="shared" si="52"/>
        <v>397</v>
      </c>
      <c r="O154" s="1300">
        <f t="shared" si="52"/>
        <v>1075</v>
      </c>
      <c r="P154" s="1300">
        <f t="shared" si="52"/>
        <v>804</v>
      </c>
      <c r="Q154" s="1300">
        <f t="shared" si="52"/>
        <v>688</v>
      </c>
      <c r="R154" s="1300">
        <f t="shared" si="52"/>
        <v>57</v>
      </c>
      <c r="S154" s="1300">
        <f t="shared" si="52"/>
        <v>3</v>
      </c>
      <c r="T154" s="1301">
        <f>T152+T150</f>
        <v>3035</v>
      </c>
      <c r="U154" s="1249"/>
      <c r="V154" s="1249"/>
      <c r="Y154" s="1204" t="s">
        <v>302</v>
      </c>
    </row>
    <row r="155" spans="1:29" ht="16.5" thickBot="1">
      <c r="A155" s="3420"/>
      <c r="B155" s="3444"/>
      <c r="C155" s="1302" t="s">
        <v>1329</v>
      </c>
      <c r="D155" s="1303">
        <f t="shared" si="51"/>
        <v>63</v>
      </c>
      <c r="E155" s="1303">
        <f t="shared" si="51"/>
        <v>243</v>
      </c>
      <c r="F155" s="1303">
        <f t="shared" si="51"/>
        <v>2</v>
      </c>
      <c r="G155" s="1303">
        <f t="shared" si="51"/>
        <v>71</v>
      </c>
      <c r="H155" s="1303">
        <f t="shared" si="51"/>
        <v>16</v>
      </c>
      <c r="I155" s="1303">
        <f t="shared" si="51"/>
        <v>150</v>
      </c>
      <c r="J155" s="1303">
        <f t="shared" si="51"/>
        <v>2</v>
      </c>
      <c r="K155" s="1304">
        <f>K153+K151</f>
        <v>547</v>
      </c>
      <c r="L155" s="1305" t="s">
        <v>1330</v>
      </c>
      <c r="M155" s="1306">
        <f t="shared" si="52"/>
        <v>27</v>
      </c>
      <c r="N155" s="1306">
        <f t="shared" si="52"/>
        <v>772</v>
      </c>
      <c r="O155" s="1306">
        <f t="shared" si="52"/>
        <v>1293</v>
      </c>
      <c r="P155" s="1306">
        <f t="shared" si="52"/>
        <v>746</v>
      </c>
      <c r="Q155" s="1306">
        <f t="shared" si="52"/>
        <v>680</v>
      </c>
      <c r="R155" s="1306">
        <f t="shared" si="52"/>
        <v>30</v>
      </c>
      <c r="S155" s="1293">
        <f t="shared" si="52"/>
        <v>9</v>
      </c>
      <c r="T155" s="1307">
        <f>T153+T151</f>
        <v>3557</v>
      </c>
      <c r="X155" s="1204">
        <f>1565/5818</f>
        <v>0.26899278102440699</v>
      </c>
      <c r="Y155" s="1204">
        <f>W151/5818</f>
        <v>0.13733241663801993</v>
      </c>
    </row>
    <row r="156" spans="1:29" ht="16.5" thickBot="1">
      <c r="B156" s="3445" t="s">
        <v>1059</v>
      </c>
      <c r="C156" s="3446"/>
      <c r="D156" s="2169">
        <f t="shared" ref="D156:K156" si="53">+D155+D154</f>
        <v>739</v>
      </c>
      <c r="E156" s="2170">
        <f>+E155+E154</f>
        <v>936</v>
      </c>
      <c r="F156" s="2171">
        <f t="shared" si="53"/>
        <v>19</v>
      </c>
      <c r="G156" s="2170">
        <f t="shared" si="53"/>
        <v>456</v>
      </c>
      <c r="H156" s="2171">
        <f t="shared" si="53"/>
        <v>567</v>
      </c>
      <c r="I156" s="2170">
        <f t="shared" si="53"/>
        <v>3035</v>
      </c>
      <c r="J156" s="2171">
        <f t="shared" si="53"/>
        <v>840</v>
      </c>
      <c r="K156" s="2172">
        <f t="shared" si="53"/>
        <v>6592</v>
      </c>
      <c r="L156" s="2173"/>
      <c r="M156" s="2174">
        <f t="shared" ref="M156:S156" si="54">+M155+M154</f>
        <v>38</v>
      </c>
      <c r="N156" s="2171">
        <f t="shared" si="54"/>
        <v>1169</v>
      </c>
      <c r="O156" s="2171">
        <f t="shared" si="54"/>
        <v>2368</v>
      </c>
      <c r="P156" s="2171">
        <f t="shared" si="54"/>
        <v>1550</v>
      </c>
      <c r="Q156" s="2174">
        <f t="shared" si="54"/>
        <v>1368</v>
      </c>
      <c r="R156" s="2171">
        <f t="shared" si="54"/>
        <v>87</v>
      </c>
      <c r="S156" s="2175">
        <f t="shared" si="54"/>
        <v>12</v>
      </c>
      <c r="T156" s="2176">
        <f>SUM(T154:T155)</f>
        <v>6592</v>
      </c>
    </row>
    <row r="157" spans="1:29">
      <c r="B157" s="1308" t="s">
        <v>1401</v>
      </c>
      <c r="C157" s="1308"/>
      <c r="D157" s="1308"/>
      <c r="E157" s="1308"/>
      <c r="F157" s="1308"/>
      <c r="G157" s="1308"/>
      <c r="H157" s="1308"/>
      <c r="I157" s="1308"/>
      <c r="J157" s="1308"/>
      <c r="K157" s="1308"/>
      <c r="L157" s="1308"/>
      <c r="M157" s="1308"/>
      <c r="N157" s="1308"/>
      <c r="O157" s="1309"/>
      <c r="P157" s="1308"/>
      <c r="Q157" s="1309"/>
      <c r="R157" s="1308"/>
      <c r="S157" s="1308"/>
      <c r="T157" s="1308"/>
    </row>
    <row r="158" spans="1:29" ht="16.5" customHeight="1">
      <c r="B158" s="3447"/>
      <c r="C158" s="3447"/>
      <c r="D158" s="3447"/>
      <c r="E158" s="3447"/>
      <c r="F158" s="3447"/>
      <c r="G158" s="3447"/>
      <c r="H158" s="3447"/>
      <c r="I158" s="3447"/>
      <c r="J158" s="3447"/>
      <c r="K158" s="3447"/>
      <c r="L158" s="3447"/>
      <c r="M158" s="3447"/>
      <c r="N158" s="1310"/>
      <c r="O158" s="1311"/>
      <c r="P158" s="1310"/>
      <c r="Q158" s="1311"/>
      <c r="R158" s="1261"/>
      <c r="S158" s="1261"/>
      <c r="T158" s="1261"/>
      <c r="V158" s="1204">
        <f>+I156/7598</f>
        <v>0.39944722295340879</v>
      </c>
    </row>
    <row r="159" spans="1:29" ht="16.5" customHeight="1" thickBot="1">
      <c r="C159" s="3469" t="s">
        <v>1402</v>
      </c>
      <c r="D159" s="3469"/>
      <c r="E159" s="3469"/>
      <c r="F159" s="3469"/>
      <c r="G159" s="3469"/>
      <c r="H159" s="3469"/>
      <c r="I159" s="3469"/>
      <c r="J159" s="3469"/>
      <c r="K159" s="3469"/>
      <c r="L159" s="3469"/>
      <c r="M159" s="3469"/>
      <c r="N159" s="3469"/>
      <c r="O159" s="3469"/>
      <c r="P159" s="3469"/>
      <c r="Q159" s="3469"/>
    </row>
    <row r="160" spans="1:29" ht="16.5" customHeight="1">
      <c r="C160" s="3457" t="s">
        <v>1</v>
      </c>
      <c r="D160" s="3458"/>
      <c r="E160" s="3458"/>
      <c r="F160" s="3458"/>
      <c r="G160" s="3459"/>
      <c r="H160" s="3073" t="s">
        <v>283</v>
      </c>
      <c r="I160" s="3473"/>
      <c r="J160" s="3473"/>
      <c r="K160" s="3474"/>
      <c r="L160" s="3473" t="s">
        <v>318</v>
      </c>
      <c r="M160" s="3473"/>
      <c r="N160" s="3473"/>
      <c r="O160" s="3474"/>
      <c r="P160" s="3457" t="s">
        <v>825</v>
      </c>
      <c r="Q160" s="3459"/>
      <c r="U160" s="1312"/>
    </row>
    <row r="161" spans="3:22" ht="16.5" customHeight="1" thickBot="1">
      <c r="C161" s="3470"/>
      <c r="D161" s="3471"/>
      <c r="E161" s="3471"/>
      <c r="F161" s="3471"/>
      <c r="G161" s="3472"/>
      <c r="H161" s="3475">
        <v>1399</v>
      </c>
      <c r="I161" s="3476"/>
      <c r="J161" s="3477">
        <v>1402</v>
      </c>
      <c r="K161" s="3478"/>
      <c r="L161" s="3471" t="s">
        <v>1403</v>
      </c>
      <c r="M161" s="3471"/>
      <c r="N161" s="3477" t="s">
        <v>1404</v>
      </c>
      <c r="O161" s="3478"/>
      <c r="P161" s="3470"/>
      <c r="Q161" s="3472"/>
    </row>
    <row r="162" spans="3:22" ht="16.5" customHeight="1">
      <c r="C162" s="3457" t="s">
        <v>1318</v>
      </c>
      <c r="D162" s="3458"/>
      <c r="E162" s="3458"/>
      <c r="F162" s="3458"/>
      <c r="G162" s="3459"/>
      <c r="H162" s="3460">
        <v>923</v>
      </c>
      <c r="I162" s="3461"/>
      <c r="J162" s="3462">
        <f>J156</f>
        <v>840</v>
      </c>
      <c r="K162" s="3461"/>
      <c r="L162" s="3463" t="s">
        <v>95</v>
      </c>
      <c r="M162" s="3464"/>
      <c r="N162" s="3465">
        <f>+H162-J162</f>
        <v>83</v>
      </c>
      <c r="O162" s="3466"/>
      <c r="P162" s="3467">
        <f t="shared" ref="P162:P169" si="55">(J162-H162)/H162</f>
        <v>-8.9924160346695564E-2</v>
      </c>
      <c r="Q162" s="3468"/>
      <c r="V162" s="1204" t="s">
        <v>95</v>
      </c>
    </row>
    <row r="163" spans="3:22" ht="16.5" customHeight="1">
      <c r="C163" s="3479" t="s">
        <v>1405</v>
      </c>
      <c r="D163" s="3480"/>
      <c r="E163" s="3480"/>
      <c r="F163" s="3480"/>
      <c r="G163" s="3481"/>
      <c r="H163" s="3482">
        <v>3017</v>
      </c>
      <c r="I163" s="3483"/>
      <c r="J163" s="3484">
        <f>I156</f>
        <v>3035</v>
      </c>
      <c r="K163" s="3483"/>
      <c r="L163" s="3488">
        <f t="shared" ref="L163" si="56">J163-H163</f>
        <v>18</v>
      </c>
      <c r="M163" s="3489"/>
      <c r="N163" s="3483" t="s">
        <v>95</v>
      </c>
      <c r="O163" s="3487"/>
      <c r="P163" s="3467">
        <f t="shared" si="55"/>
        <v>5.9661915810407693E-3</v>
      </c>
      <c r="Q163" s="3468"/>
    </row>
    <row r="164" spans="3:22" ht="16.5" customHeight="1">
      <c r="C164" s="3479" t="s">
        <v>1406</v>
      </c>
      <c r="D164" s="3480"/>
      <c r="E164" s="3480"/>
      <c r="F164" s="3480"/>
      <c r="G164" s="3481"/>
      <c r="H164" s="3482">
        <v>913</v>
      </c>
      <c r="I164" s="3483"/>
      <c r="J164" s="3484">
        <f>H156</f>
        <v>567</v>
      </c>
      <c r="K164" s="3483"/>
      <c r="L164" s="3485" t="s">
        <v>95</v>
      </c>
      <c r="M164" s="3486"/>
      <c r="N164" s="3483">
        <f t="shared" ref="N164:N169" si="57">H164-J164</f>
        <v>346</v>
      </c>
      <c r="O164" s="3487"/>
      <c r="P164" s="3467">
        <f t="shared" si="55"/>
        <v>-0.37897042716319823</v>
      </c>
      <c r="Q164" s="3468"/>
    </row>
    <row r="165" spans="3:22" ht="16.5" customHeight="1">
      <c r="C165" s="3479" t="s">
        <v>1315</v>
      </c>
      <c r="D165" s="3480"/>
      <c r="E165" s="3480"/>
      <c r="F165" s="3480"/>
      <c r="G165" s="3481"/>
      <c r="H165" s="3482">
        <v>579</v>
      </c>
      <c r="I165" s="3483"/>
      <c r="J165" s="3484">
        <f>G156</f>
        <v>456</v>
      </c>
      <c r="K165" s="3483"/>
      <c r="L165" s="3485" t="s">
        <v>95</v>
      </c>
      <c r="M165" s="3486"/>
      <c r="N165" s="3483">
        <f t="shared" si="57"/>
        <v>123</v>
      </c>
      <c r="O165" s="3487"/>
      <c r="P165" s="3467">
        <f t="shared" si="55"/>
        <v>-0.21243523316062177</v>
      </c>
      <c r="Q165" s="3468"/>
    </row>
    <row r="166" spans="3:22" ht="22.5">
      <c r="C166" s="3479" t="s">
        <v>1313</v>
      </c>
      <c r="D166" s="3480"/>
      <c r="E166" s="3480"/>
      <c r="F166" s="3480"/>
      <c r="G166" s="3481"/>
      <c r="H166" s="3482">
        <v>1204</v>
      </c>
      <c r="I166" s="3483"/>
      <c r="J166" s="3484">
        <f>E156</f>
        <v>936</v>
      </c>
      <c r="K166" s="3483"/>
      <c r="L166" s="3485" t="s">
        <v>95</v>
      </c>
      <c r="M166" s="3486"/>
      <c r="N166" s="3483">
        <f t="shared" si="57"/>
        <v>268</v>
      </c>
      <c r="O166" s="3487"/>
      <c r="P166" s="3467">
        <f t="shared" si="55"/>
        <v>-0.22259136212624583</v>
      </c>
      <c r="Q166" s="3468"/>
    </row>
    <row r="167" spans="3:22" ht="22.5">
      <c r="C167" s="3479" t="s">
        <v>1312</v>
      </c>
      <c r="D167" s="3480"/>
      <c r="E167" s="3480"/>
      <c r="F167" s="3480"/>
      <c r="G167" s="3481"/>
      <c r="H167" s="3482">
        <v>933</v>
      </c>
      <c r="I167" s="3483"/>
      <c r="J167" s="3484">
        <f>D156</f>
        <v>739</v>
      </c>
      <c r="K167" s="3483"/>
      <c r="L167" s="3485" t="s">
        <v>95</v>
      </c>
      <c r="M167" s="3486"/>
      <c r="N167" s="3483">
        <f t="shared" si="57"/>
        <v>194</v>
      </c>
      <c r="O167" s="3487"/>
      <c r="P167" s="3467">
        <f t="shared" si="55"/>
        <v>-0.20793140407288319</v>
      </c>
      <c r="Q167" s="3468"/>
      <c r="T167" s="3501"/>
      <c r="U167" s="3501"/>
    </row>
    <row r="168" spans="3:22" ht="23.25" thickBot="1">
      <c r="C168" s="3479" t="s">
        <v>1314</v>
      </c>
      <c r="D168" s="3480"/>
      <c r="E168" s="3480"/>
      <c r="F168" s="3480"/>
      <c r="G168" s="3481"/>
      <c r="H168" s="3482">
        <v>29</v>
      </c>
      <c r="I168" s="3483"/>
      <c r="J168" s="3502">
        <f>F156</f>
        <v>19</v>
      </c>
      <c r="K168" s="3503"/>
      <c r="L168" s="3504" t="s">
        <v>95</v>
      </c>
      <c r="M168" s="3505"/>
      <c r="N168" s="3503">
        <f t="shared" si="57"/>
        <v>10</v>
      </c>
      <c r="O168" s="3506"/>
      <c r="P168" s="3467">
        <f t="shared" si="55"/>
        <v>-0.34482758620689657</v>
      </c>
      <c r="Q168" s="3468"/>
    </row>
    <row r="169" spans="3:22" ht="23.25" thickBot="1">
      <c r="C169" s="3490" t="s">
        <v>1400</v>
      </c>
      <c r="D169" s="3491"/>
      <c r="E169" s="3491"/>
      <c r="F169" s="3491"/>
      <c r="G169" s="3492"/>
      <c r="H169" s="3493">
        <f>SUM(H162:I168)</f>
        <v>7598</v>
      </c>
      <c r="I169" s="3494"/>
      <c r="J169" s="3495">
        <f>SUM(J162:K168)</f>
        <v>6592</v>
      </c>
      <c r="K169" s="3496"/>
      <c r="L169" s="3497" t="s">
        <v>95</v>
      </c>
      <c r="M169" s="3498"/>
      <c r="N169" s="3495">
        <f t="shared" si="57"/>
        <v>1006</v>
      </c>
      <c r="O169" s="3496"/>
      <c r="P169" s="3499">
        <f t="shared" si="55"/>
        <v>-0.13240326401684654</v>
      </c>
      <c r="Q169" s="3500"/>
    </row>
    <row r="179" spans="9:9">
      <c r="I179" s="1312"/>
    </row>
  </sheetData>
  <autoFilter ref="A94:U142" xr:uid="{00000000-0009-0000-0000-00003B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285">
    <mergeCell ref="C169:G169"/>
    <mergeCell ref="H169:I169"/>
    <mergeCell ref="J169:K169"/>
    <mergeCell ref="L169:M169"/>
    <mergeCell ref="N169:O169"/>
    <mergeCell ref="P169:Q169"/>
    <mergeCell ref="T167:U167"/>
    <mergeCell ref="C168:G168"/>
    <mergeCell ref="H168:I168"/>
    <mergeCell ref="J168:K168"/>
    <mergeCell ref="L168:M168"/>
    <mergeCell ref="N168:O168"/>
    <mergeCell ref="P168:Q168"/>
    <mergeCell ref="C167:G167"/>
    <mergeCell ref="H167:I167"/>
    <mergeCell ref="J167:K167"/>
    <mergeCell ref="L167:M167"/>
    <mergeCell ref="N167:O167"/>
    <mergeCell ref="P167:Q167"/>
    <mergeCell ref="C166:G166"/>
    <mergeCell ref="H166:I166"/>
    <mergeCell ref="J166:K166"/>
    <mergeCell ref="L166:M166"/>
    <mergeCell ref="N166:O166"/>
    <mergeCell ref="P166:Q166"/>
    <mergeCell ref="C165:G165"/>
    <mergeCell ref="H165:I165"/>
    <mergeCell ref="J165:K165"/>
    <mergeCell ref="L165:M165"/>
    <mergeCell ref="N165:O165"/>
    <mergeCell ref="P165:Q165"/>
    <mergeCell ref="C164:G164"/>
    <mergeCell ref="H164:I164"/>
    <mergeCell ref="J164:K164"/>
    <mergeCell ref="L164:M164"/>
    <mergeCell ref="N164:O164"/>
    <mergeCell ref="P164:Q164"/>
    <mergeCell ref="C163:G163"/>
    <mergeCell ref="H163:I163"/>
    <mergeCell ref="J163:K163"/>
    <mergeCell ref="L163:M163"/>
    <mergeCell ref="N163:O163"/>
    <mergeCell ref="P163:Q163"/>
    <mergeCell ref="C162:G162"/>
    <mergeCell ref="H162:I162"/>
    <mergeCell ref="J162:K162"/>
    <mergeCell ref="L162:M162"/>
    <mergeCell ref="N162:O162"/>
    <mergeCell ref="P162:Q162"/>
    <mergeCell ref="C159:Q159"/>
    <mergeCell ref="C160:G161"/>
    <mergeCell ref="H160:K160"/>
    <mergeCell ref="L160:O160"/>
    <mergeCell ref="P160:Q161"/>
    <mergeCell ref="H161:I161"/>
    <mergeCell ref="J161:K161"/>
    <mergeCell ref="L161:M161"/>
    <mergeCell ref="N161:O161"/>
    <mergeCell ref="B150:B151"/>
    <mergeCell ref="B152:B153"/>
    <mergeCell ref="A154:A155"/>
    <mergeCell ref="B154:B155"/>
    <mergeCell ref="B156:C156"/>
    <mergeCell ref="B158:M158"/>
    <mergeCell ref="B148:B149"/>
    <mergeCell ref="C148:C149"/>
    <mergeCell ref="D148:K148"/>
    <mergeCell ref="L148:L149"/>
    <mergeCell ref="M148:S148"/>
    <mergeCell ref="T148:T149"/>
    <mergeCell ref="B140:B141"/>
    <mergeCell ref="U140:U141"/>
    <mergeCell ref="V140:V141"/>
    <mergeCell ref="B142:C142"/>
    <mergeCell ref="B143:H143"/>
    <mergeCell ref="B147:T147"/>
    <mergeCell ref="B136:B137"/>
    <mergeCell ref="U136:U137"/>
    <mergeCell ref="V136:V137"/>
    <mergeCell ref="B138:B139"/>
    <mergeCell ref="U138:U139"/>
    <mergeCell ref="V138:V139"/>
    <mergeCell ref="B132:B133"/>
    <mergeCell ref="U132:U133"/>
    <mergeCell ref="V132:V133"/>
    <mergeCell ref="X132:X133"/>
    <mergeCell ref="B134:B135"/>
    <mergeCell ref="U134:U135"/>
    <mergeCell ref="V134:V135"/>
    <mergeCell ref="X134:X135"/>
    <mergeCell ref="B128:B129"/>
    <mergeCell ref="U128:U129"/>
    <mergeCell ref="V128:V129"/>
    <mergeCell ref="X128:X129"/>
    <mergeCell ref="B130:B131"/>
    <mergeCell ref="U130:U131"/>
    <mergeCell ref="V130:V131"/>
    <mergeCell ref="X122:X123"/>
    <mergeCell ref="B124:B125"/>
    <mergeCell ref="U124:U125"/>
    <mergeCell ref="V124:V125"/>
    <mergeCell ref="X124:X125"/>
    <mergeCell ref="B126:B127"/>
    <mergeCell ref="U126:U127"/>
    <mergeCell ref="V126:V127"/>
    <mergeCell ref="X126:X127"/>
    <mergeCell ref="B120:B121"/>
    <mergeCell ref="U120:U121"/>
    <mergeCell ref="V120:V121"/>
    <mergeCell ref="B122:B123"/>
    <mergeCell ref="U122:U123"/>
    <mergeCell ref="V122:V123"/>
    <mergeCell ref="B116:B117"/>
    <mergeCell ref="U116:U117"/>
    <mergeCell ref="V116:V117"/>
    <mergeCell ref="X116:X117"/>
    <mergeCell ref="B118:B119"/>
    <mergeCell ref="U118:U119"/>
    <mergeCell ref="V118:V119"/>
    <mergeCell ref="X118:X119"/>
    <mergeCell ref="X112:X113"/>
    <mergeCell ref="A114:A115"/>
    <mergeCell ref="B114:B115"/>
    <mergeCell ref="U114:U115"/>
    <mergeCell ref="V114:V115"/>
    <mergeCell ref="X114:X115"/>
    <mergeCell ref="B110:B111"/>
    <mergeCell ref="U110:U111"/>
    <mergeCell ref="V110:V111"/>
    <mergeCell ref="B112:B113"/>
    <mergeCell ref="U112:U113"/>
    <mergeCell ref="V112:V113"/>
    <mergeCell ref="X104:X105"/>
    <mergeCell ref="B106:B107"/>
    <mergeCell ref="U106:U107"/>
    <mergeCell ref="V106:V107"/>
    <mergeCell ref="X106:X107"/>
    <mergeCell ref="B108:B109"/>
    <mergeCell ref="U108:U109"/>
    <mergeCell ref="V108:V109"/>
    <mergeCell ref="X108:X109"/>
    <mergeCell ref="B102:B103"/>
    <mergeCell ref="U102:U103"/>
    <mergeCell ref="V102:V103"/>
    <mergeCell ref="B104:B105"/>
    <mergeCell ref="U104:U105"/>
    <mergeCell ref="V104:V105"/>
    <mergeCell ref="B98:B99"/>
    <mergeCell ref="U98:U99"/>
    <mergeCell ref="V98:V99"/>
    <mergeCell ref="X98:X99"/>
    <mergeCell ref="B100:B101"/>
    <mergeCell ref="U100:U101"/>
    <mergeCell ref="V100:V101"/>
    <mergeCell ref="X100:X101"/>
    <mergeCell ref="B89:C89"/>
    <mergeCell ref="B94:U94"/>
    <mergeCell ref="B95:T95"/>
    <mergeCell ref="B96:B97"/>
    <mergeCell ref="C96:C97"/>
    <mergeCell ref="D96:K96"/>
    <mergeCell ref="L96:L97"/>
    <mergeCell ref="M96:S96"/>
    <mergeCell ref="T96:T97"/>
    <mergeCell ref="U96:U97"/>
    <mergeCell ref="B85:B86"/>
    <mergeCell ref="U85:U86"/>
    <mergeCell ref="V85:V86"/>
    <mergeCell ref="B87:B88"/>
    <mergeCell ref="U87:U88"/>
    <mergeCell ref="V87:V88"/>
    <mergeCell ref="B81:B82"/>
    <mergeCell ref="U81:U82"/>
    <mergeCell ref="V81:V82"/>
    <mergeCell ref="B83:B84"/>
    <mergeCell ref="U83:U84"/>
    <mergeCell ref="V83:V84"/>
    <mergeCell ref="A77:A78"/>
    <mergeCell ref="B77:B78"/>
    <mergeCell ref="U77:U78"/>
    <mergeCell ref="V77:V78"/>
    <mergeCell ref="B79:B80"/>
    <mergeCell ref="U79:U80"/>
    <mergeCell ref="V79:V80"/>
    <mergeCell ref="B70:B71"/>
    <mergeCell ref="U70:U71"/>
    <mergeCell ref="V70:V71"/>
    <mergeCell ref="B72:B73"/>
    <mergeCell ref="B74:B75"/>
    <mergeCell ref="U74:U75"/>
    <mergeCell ref="V74:V75"/>
    <mergeCell ref="B65:B66"/>
    <mergeCell ref="U65:U66"/>
    <mergeCell ref="V65:V66"/>
    <mergeCell ref="B67:B68"/>
    <mergeCell ref="U67:U68"/>
    <mergeCell ref="V67:V68"/>
    <mergeCell ref="B59:B60"/>
    <mergeCell ref="B61:B62"/>
    <mergeCell ref="U61:U62"/>
    <mergeCell ref="V61:V62"/>
    <mergeCell ref="B63:B64"/>
    <mergeCell ref="U63:U64"/>
    <mergeCell ref="V63:V64"/>
    <mergeCell ref="B54:B55"/>
    <mergeCell ref="U54:U55"/>
    <mergeCell ref="V54:V55"/>
    <mergeCell ref="B56:B57"/>
    <mergeCell ref="U56:U57"/>
    <mergeCell ref="V56:V57"/>
    <mergeCell ref="B50:B51"/>
    <mergeCell ref="U50:U51"/>
    <mergeCell ref="V50:V51"/>
    <mergeCell ref="B52:B53"/>
    <mergeCell ref="U52:U53"/>
    <mergeCell ref="V52:V53"/>
    <mergeCell ref="B42:B43"/>
    <mergeCell ref="U42:U43"/>
    <mergeCell ref="V42:V43"/>
    <mergeCell ref="B44:B45"/>
    <mergeCell ref="B46:B47"/>
    <mergeCell ref="U46:U47"/>
    <mergeCell ref="V46:V47"/>
    <mergeCell ref="B38:B39"/>
    <mergeCell ref="U38:U39"/>
    <mergeCell ref="V38:V39"/>
    <mergeCell ref="B40:B41"/>
    <mergeCell ref="U40:U41"/>
    <mergeCell ref="V40:V41"/>
    <mergeCell ref="B33:B34"/>
    <mergeCell ref="U33:U34"/>
    <mergeCell ref="V33:V34"/>
    <mergeCell ref="B35:B36"/>
    <mergeCell ref="U35:U36"/>
    <mergeCell ref="V35:V36"/>
    <mergeCell ref="B28:B29"/>
    <mergeCell ref="U29:U30"/>
    <mergeCell ref="V29:V30"/>
    <mergeCell ref="B31:B32"/>
    <mergeCell ref="U31:U32"/>
    <mergeCell ref="V31:V32"/>
    <mergeCell ref="B24:B25"/>
    <mergeCell ref="U24:U25"/>
    <mergeCell ref="V24:V25"/>
    <mergeCell ref="B26:B27"/>
    <mergeCell ref="U26:U27"/>
    <mergeCell ref="V26:V27"/>
    <mergeCell ref="B20:B21"/>
    <mergeCell ref="U20:U21"/>
    <mergeCell ref="V20:V21"/>
    <mergeCell ref="B22:B23"/>
    <mergeCell ref="U22:U23"/>
    <mergeCell ref="V22:V23"/>
    <mergeCell ref="B16:B17"/>
    <mergeCell ref="U16:U17"/>
    <mergeCell ref="V16:V17"/>
    <mergeCell ref="B18:B19"/>
    <mergeCell ref="U18:U19"/>
    <mergeCell ref="V18:V19"/>
    <mergeCell ref="B12:B13"/>
    <mergeCell ref="U12:U13"/>
    <mergeCell ref="V12:V13"/>
    <mergeCell ref="B14:B15"/>
    <mergeCell ref="U14:U15"/>
    <mergeCell ref="V14:V15"/>
    <mergeCell ref="V8:V9"/>
    <mergeCell ref="B10:B11"/>
    <mergeCell ref="U10:U11"/>
    <mergeCell ref="V10:V11"/>
    <mergeCell ref="U2:U3"/>
    <mergeCell ref="B4:B5"/>
    <mergeCell ref="U4:U5"/>
    <mergeCell ref="V4:V5"/>
    <mergeCell ref="B6:B7"/>
    <mergeCell ref="U6:U7"/>
    <mergeCell ref="V6:V7"/>
    <mergeCell ref="B1:T1"/>
    <mergeCell ref="B2:B3"/>
    <mergeCell ref="C2:C3"/>
    <mergeCell ref="D2:K2"/>
    <mergeCell ref="L2:L3"/>
    <mergeCell ref="M2:S2"/>
    <mergeCell ref="T2:T3"/>
    <mergeCell ref="B8:B9"/>
    <mergeCell ref="U8:U9"/>
  </mergeCells>
  <printOptions horizontalCentered="1" verticalCentered="1"/>
  <pageMargins left="0.19685039370078741" right="0" top="0.15748031496062992" bottom="0.19685039370078741" header="0.15748031496062992" footer="0.27559055118110237"/>
  <pageSetup paperSize="9" scale="80" orientation="landscape" r:id="rId1"/>
  <headerFooter alignWithMargins="0"/>
  <rowBreaks count="4" manualBreakCount="4">
    <brk id="47" max="16383" man="1"/>
    <brk id="48" max="16383" man="1"/>
    <brk id="94" max="16383" man="1"/>
    <brk id="145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pageSetUpPr fitToPage="1"/>
  </sheetPr>
  <dimension ref="M2:M37"/>
  <sheetViews>
    <sheetView rightToLeft="1" tabSelected="1" zoomScaleNormal="100" workbookViewId="0">
      <selection activeCell="N10" sqref="N10"/>
    </sheetView>
  </sheetViews>
  <sheetFormatPr defaultColWidth="9" defaultRowHeight="18"/>
  <cols>
    <col min="1" max="16384" width="9" style="1313"/>
  </cols>
  <sheetData>
    <row r="2" spans="13:13" ht="19.5" customHeight="1"/>
    <row r="3" spans="13:13" ht="19.5" customHeight="1"/>
    <row r="4" spans="13:13" ht="19.5" customHeight="1"/>
    <row r="5" spans="13:13" ht="19.5" customHeight="1"/>
    <row r="6" spans="13:13" ht="19.5" customHeight="1"/>
    <row r="7" spans="13:13" ht="19.5" customHeight="1"/>
    <row r="8" spans="13:13" ht="19.5" customHeight="1"/>
    <row r="9" spans="13:13" ht="19.5" customHeight="1"/>
    <row r="10" spans="13:13" ht="19.5" customHeight="1"/>
    <row r="11" spans="13:13" ht="19.5" customHeight="1"/>
    <row r="12" spans="13:13" ht="19.5" customHeight="1"/>
    <row r="13" spans="13:13" ht="19.5" customHeight="1"/>
    <row r="14" spans="13:13" ht="19.5" customHeight="1"/>
    <row r="15" spans="13:13" ht="19.5" customHeight="1"/>
    <row r="16" spans="13:13" ht="19.5" customHeight="1">
      <c r="M16" s="1314"/>
    </row>
    <row r="17" spans="13:13" ht="19.5" customHeight="1">
      <c r="M17" s="1314"/>
    </row>
    <row r="18" spans="13:13" ht="60" customHeight="1">
      <c r="M18" s="1314"/>
    </row>
    <row r="19" spans="13:13" ht="19.5" customHeight="1">
      <c r="M19" s="1314"/>
    </row>
    <row r="20" spans="13:13" ht="19.5" customHeight="1">
      <c r="M20" s="1314"/>
    </row>
    <row r="21" spans="13:13" ht="19.5" customHeight="1">
      <c r="M21" s="1314"/>
    </row>
    <row r="22" spans="13:13" ht="19.5" customHeight="1">
      <c r="M22" s="1314"/>
    </row>
    <row r="23" spans="13:13" ht="19.5" customHeight="1">
      <c r="M23" s="1314"/>
    </row>
    <row r="24" spans="13:13" ht="19.5" customHeight="1">
      <c r="M24" s="1314"/>
    </row>
    <row r="25" spans="13:13" ht="19.5" customHeight="1">
      <c r="M25" s="1314"/>
    </row>
    <row r="26" spans="13:13" ht="19.5" customHeight="1">
      <c r="M26" s="1314"/>
    </row>
    <row r="27" spans="13:13" ht="19.5" customHeight="1">
      <c r="M27" s="1314"/>
    </row>
    <row r="28" spans="13:13" ht="19.5" customHeight="1">
      <c r="M28" s="1314"/>
    </row>
    <row r="29" spans="13:13" ht="19.5" customHeight="1"/>
    <row r="30" spans="13:13" ht="19.5" customHeight="1"/>
    <row r="31" spans="13:13" ht="19.5" customHeight="1"/>
    <row r="32" spans="13:13" ht="19.5" customHeight="1"/>
    <row r="33" ht="19.5" customHeight="1"/>
    <row r="34" ht="19.5" customHeight="1"/>
    <row r="35" ht="19.5" customHeight="1"/>
    <row r="36" ht="19.5" customHeight="1"/>
    <row r="37" ht="19.5" customHeight="1"/>
  </sheetData>
  <printOptions horizontalCentered="1" verticalCentered="1"/>
  <pageMargins left="0.25" right="0.25" top="0.75" bottom="0.75" header="0.3" footer="0.3"/>
  <pageSetup paperSize="9" scale="77" firstPageNumber="91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pageSetUpPr fitToPage="1"/>
  </sheetPr>
  <dimension ref="A1:A39"/>
  <sheetViews>
    <sheetView rightToLeft="1" topLeftCell="A13" zoomScaleNormal="100" workbookViewId="0">
      <selection activeCell="K1" sqref="B1:K37"/>
    </sheetView>
  </sheetViews>
  <sheetFormatPr defaultColWidth="9" defaultRowHeight="18"/>
  <cols>
    <col min="1" max="16384" width="9" style="1313"/>
  </cols>
  <sheetData>
    <row r="1" ht="19.5" customHeight="1"/>
    <row r="2" ht="19.5" customHeight="1"/>
    <row r="3" ht="19.5" customHeight="1"/>
    <row r="4" ht="19.5" customHeight="1"/>
    <row r="5" ht="19.5" customHeight="1"/>
    <row r="6" ht="19.5" customHeight="1"/>
    <row r="7" ht="19.5" customHeight="1"/>
    <row r="8" ht="19.5" customHeight="1"/>
    <row r="9" ht="19.5" customHeight="1"/>
    <row r="10" ht="19.5" customHeight="1"/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</sheetData>
  <printOptions horizontalCentered="1" verticalCentered="1"/>
  <pageMargins left="0.74803149606299213" right="0.74803149606299213" top="0.55118110236220474" bottom="0.98425196850393704" header="0.51181102362204722" footer="0.98425196850393704"/>
  <pageSetup paperSize="9" scale="80" firstPageNumber="92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</sheetPr>
  <dimension ref="A1:J23"/>
  <sheetViews>
    <sheetView rightToLeft="1" topLeftCell="A7" zoomScale="130" zoomScaleNormal="130" workbookViewId="0">
      <selection sqref="A1:G18"/>
    </sheetView>
  </sheetViews>
  <sheetFormatPr defaultColWidth="7.875" defaultRowHeight="15.75"/>
  <cols>
    <col min="1" max="1" width="49.625" style="1720" customWidth="1"/>
    <col min="2" max="2" width="10.625" style="1720" customWidth="1"/>
    <col min="3" max="3" width="10.375" style="1720" customWidth="1"/>
    <col min="4" max="4" width="9.25" style="1720" customWidth="1"/>
    <col min="5" max="5" width="8.75" style="1720" customWidth="1"/>
    <col min="6" max="6" width="9.25" style="1720" customWidth="1"/>
    <col min="7" max="7" width="12.25" style="1720" customWidth="1"/>
    <col min="8" max="8" width="5.25" style="1720" customWidth="1"/>
    <col min="9" max="9" width="8.875" style="1720" customWidth="1"/>
    <col min="10" max="10" width="8.25" style="1720" customWidth="1"/>
    <col min="11" max="16384" width="7.875" style="1720"/>
  </cols>
  <sheetData>
    <row r="1" spans="1:10" ht="21.75" customHeight="1" thickBot="1">
      <c r="A1" s="3507" t="s">
        <v>1910</v>
      </c>
      <c r="B1" s="3507"/>
      <c r="C1" s="3507"/>
      <c r="D1" s="3507"/>
      <c r="E1" s="3507"/>
      <c r="F1" s="3507"/>
      <c r="G1" s="3507"/>
      <c r="H1" s="1719"/>
      <c r="I1" s="1719"/>
      <c r="J1" s="1719"/>
    </row>
    <row r="2" spans="1:10" ht="21.75" customHeight="1">
      <c r="A2" s="3508" t="s">
        <v>1911</v>
      </c>
      <c r="B2" s="3510">
        <v>1401</v>
      </c>
      <c r="C2" s="3510"/>
      <c r="D2" s="3511"/>
      <c r="E2" s="3508">
        <v>1402</v>
      </c>
      <c r="F2" s="3510"/>
      <c r="G2" s="3512"/>
      <c r="H2" s="1719"/>
      <c r="I2" s="1719"/>
      <c r="J2" s="1719"/>
    </row>
    <row r="3" spans="1:10" ht="63" customHeight="1" thickBot="1">
      <c r="A3" s="3509"/>
      <c r="B3" s="2489" t="s">
        <v>1912</v>
      </c>
      <c r="C3" s="2489" t="s">
        <v>1913</v>
      </c>
      <c r="D3" s="2490" t="s">
        <v>1914</v>
      </c>
      <c r="E3" s="2491" t="s">
        <v>1912</v>
      </c>
      <c r="F3" s="2489" t="s">
        <v>1913</v>
      </c>
      <c r="G3" s="2492" t="s">
        <v>1914</v>
      </c>
      <c r="H3" s="1721"/>
      <c r="I3" s="1721"/>
      <c r="J3" s="1721"/>
    </row>
    <row r="4" spans="1:10" ht="37.5" customHeight="1">
      <c r="A4" s="2493" t="s">
        <v>1915</v>
      </c>
      <c r="B4" s="1722">
        <v>40389</v>
      </c>
      <c r="C4" s="1723">
        <v>671304</v>
      </c>
      <c r="D4" s="1724">
        <v>1656</v>
      </c>
      <c r="E4" s="1725">
        <v>40358</v>
      </c>
      <c r="F4" s="1726">
        <v>698720</v>
      </c>
      <c r="G4" s="1727">
        <v>1451</v>
      </c>
    </row>
    <row r="5" spans="1:10" ht="22.5" customHeight="1">
      <c r="A5" s="2494" t="s">
        <v>1916</v>
      </c>
      <c r="B5" s="1728">
        <v>10595</v>
      </c>
      <c r="C5" s="1729">
        <v>66852</v>
      </c>
      <c r="D5" s="1730">
        <v>642</v>
      </c>
      <c r="E5" s="1731">
        <v>14560</v>
      </c>
      <c r="F5" s="1732">
        <v>76060</v>
      </c>
      <c r="G5" s="1733">
        <v>556</v>
      </c>
    </row>
    <row r="6" spans="1:10" ht="22.5" customHeight="1">
      <c r="A6" s="2494" t="s">
        <v>1917</v>
      </c>
      <c r="B6" s="1734">
        <v>3136</v>
      </c>
      <c r="C6" s="1735">
        <v>569290</v>
      </c>
      <c r="D6" s="1736">
        <v>196</v>
      </c>
      <c r="E6" s="1731">
        <v>2866</v>
      </c>
      <c r="F6" s="1732">
        <v>339608</v>
      </c>
      <c r="G6" s="1733">
        <v>125</v>
      </c>
    </row>
    <row r="7" spans="1:10" ht="22.5" customHeight="1">
      <c r="A7" s="2494" t="s">
        <v>1918</v>
      </c>
      <c r="B7" s="1728">
        <v>517</v>
      </c>
      <c r="C7" s="1729">
        <v>16692</v>
      </c>
      <c r="D7" s="1730">
        <v>34</v>
      </c>
      <c r="E7" s="1737">
        <v>410</v>
      </c>
      <c r="F7" s="1738">
        <v>10076</v>
      </c>
      <c r="G7" s="1739">
        <v>25</v>
      </c>
    </row>
    <row r="8" spans="1:10" ht="22.5" customHeight="1">
      <c r="A8" s="2494" t="s">
        <v>1919</v>
      </c>
      <c r="B8" s="1728">
        <v>45</v>
      </c>
      <c r="C8" s="1729">
        <v>9290</v>
      </c>
      <c r="D8" s="1730">
        <v>10</v>
      </c>
      <c r="E8" s="1737">
        <v>102</v>
      </c>
      <c r="F8" s="1738">
        <v>28276</v>
      </c>
      <c r="G8" s="1739">
        <v>15</v>
      </c>
    </row>
    <row r="9" spans="1:10" ht="22.5" customHeight="1">
      <c r="A9" s="2494" t="s">
        <v>1920</v>
      </c>
      <c r="B9" s="1728">
        <v>1255</v>
      </c>
      <c r="C9" s="1729">
        <v>9771</v>
      </c>
      <c r="D9" s="1730">
        <v>38</v>
      </c>
      <c r="E9" s="1737">
        <v>1407</v>
      </c>
      <c r="F9" s="1738">
        <v>10350</v>
      </c>
      <c r="G9" s="1739">
        <v>51</v>
      </c>
    </row>
    <row r="10" spans="1:10" ht="22.5" customHeight="1">
      <c r="A10" s="2494" t="s">
        <v>1921</v>
      </c>
      <c r="B10" s="1728">
        <v>474</v>
      </c>
      <c r="C10" s="1729">
        <v>3012</v>
      </c>
      <c r="D10" s="1730">
        <v>7</v>
      </c>
      <c r="E10" s="1737">
        <v>101</v>
      </c>
      <c r="F10" s="1738">
        <v>1026</v>
      </c>
      <c r="G10" s="1739">
        <v>6</v>
      </c>
    </row>
    <row r="11" spans="1:10" ht="22.5" customHeight="1" thickBot="1">
      <c r="A11" s="2495" t="s">
        <v>1922</v>
      </c>
      <c r="B11" s="1740">
        <v>16670</v>
      </c>
      <c r="C11" s="1741">
        <v>188970</v>
      </c>
      <c r="D11" s="1742">
        <v>57</v>
      </c>
      <c r="E11" s="1743">
        <v>25502</v>
      </c>
      <c r="F11" s="1744">
        <v>108220</v>
      </c>
      <c r="G11" s="1745">
        <v>131</v>
      </c>
    </row>
    <row r="12" spans="1:10" ht="27.75" customHeight="1" thickBot="1">
      <c r="A12" s="2496" t="s">
        <v>1059</v>
      </c>
      <c r="B12" s="1747">
        <v>73081</v>
      </c>
      <c r="C12" s="1748">
        <v>1535181</v>
      </c>
      <c r="D12" s="1749">
        <v>2640</v>
      </c>
      <c r="E12" s="1750">
        <f t="shared" ref="E12:G12" si="0">SUM(E4:E11)</f>
        <v>85306</v>
      </c>
      <c r="F12" s="1751">
        <f t="shared" si="0"/>
        <v>1272336</v>
      </c>
      <c r="G12" s="1752">
        <f t="shared" si="0"/>
        <v>2360</v>
      </c>
    </row>
    <row r="13" spans="1:10" ht="18.75" customHeight="1"/>
    <row r="14" spans="1:10" ht="16.5" thickBot="1">
      <c r="A14" s="2497" t="s">
        <v>1923</v>
      </c>
      <c r="B14" s="2498" t="s">
        <v>1924</v>
      </c>
      <c r="C14" s="2498" t="s">
        <v>1925</v>
      </c>
      <c r="D14" s="1753"/>
      <c r="E14" s="1753"/>
      <c r="F14" s="1753"/>
      <c r="G14" s="1753"/>
      <c r="H14" s="1753"/>
      <c r="I14" s="1753"/>
      <c r="J14" s="1753"/>
    </row>
    <row r="15" spans="1:10" ht="18.75">
      <c r="A15" s="2499" t="s">
        <v>1926</v>
      </c>
      <c r="B15" s="1754">
        <v>671304</v>
      </c>
      <c r="C15" s="1755">
        <v>698720</v>
      </c>
    </row>
    <row r="16" spans="1:10" ht="19.5" thickBot="1">
      <c r="A16" s="2499" t="s">
        <v>1927</v>
      </c>
      <c r="B16" s="1756">
        <v>188970</v>
      </c>
      <c r="C16" s="1757">
        <v>108220</v>
      </c>
    </row>
    <row r="18" spans="1:10">
      <c r="A18" s="3513" t="s">
        <v>1928</v>
      </c>
      <c r="B18" s="3513"/>
      <c r="C18" s="3513"/>
      <c r="D18" s="3513"/>
      <c r="E18" s="3513"/>
      <c r="F18" s="3513"/>
      <c r="G18" s="3513"/>
    </row>
    <row r="20" spans="1:10">
      <c r="F20" s="1721"/>
      <c r="G20" s="1721"/>
    </row>
    <row r="21" spans="1:10" ht="19.5">
      <c r="F21" s="1719"/>
      <c r="G21" s="1719"/>
      <c r="H21" s="1719"/>
      <c r="I21" s="1719"/>
      <c r="J21" s="1719"/>
    </row>
    <row r="22" spans="1:10">
      <c r="F22" s="1721"/>
      <c r="G22" s="1721"/>
      <c r="H22" s="1721"/>
      <c r="I22" s="1721"/>
      <c r="J22" s="1721"/>
    </row>
    <row r="23" spans="1:10">
      <c r="H23" s="1721"/>
      <c r="I23" s="1721"/>
      <c r="J23" s="1721"/>
    </row>
  </sheetData>
  <mergeCells count="5">
    <mergeCell ref="A1:G1"/>
    <mergeCell ref="A2:A3"/>
    <mergeCell ref="B2:D2"/>
    <mergeCell ref="E2:G2"/>
    <mergeCell ref="A18:G18"/>
  </mergeCells>
  <printOptions horizontalCentered="1" verticalCentered="1"/>
  <pageMargins left="0" right="0.15748031496062992" top="0.82677165354330717" bottom="0.98425196850393704" header="0.35433070866141736" footer="0.51181102362204722"/>
  <pageSetup paperSize="9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pageSetUpPr fitToPage="1"/>
  </sheetPr>
  <dimension ref="A21:M32"/>
  <sheetViews>
    <sheetView rightToLeft="1" topLeftCell="A30" zoomScale="145" zoomScaleNormal="145" workbookViewId="0">
      <selection activeCell="M1" sqref="A1:M32"/>
    </sheetView>
  </sheetViews>
  <sheetFormatPr defaultColWidth="7.875" defaultRowHeight="15"/>
  <cols>
    <col min="1" max="1" width="14.375" style="1758" customWidth="1"/>
    <col min="2" max="2" width="9" style="1758" customWidth="1"/>
    <col min="3" max="3" width="8.375" style="1758" customWidth="1"/>
    <col min="4" max="4" width="8.625" style="1758" customWidth="1"/>
    <col min="5" max="5" width="10.75" style="1758" customWidth="1"/>
    <col min="6" max="6" width="8.375" style="1758" customWidth="1"/>
    <col min="7" max="7" width="7.25" style="1758" customWidth="1"/>
    <col min="8" max="8" width="7.125" style="1758" customWidth="1"/>
    <col min="9" max="9" width="7" style="1758" customWidth="1"/>
    <col min="10" max="10" width="6.625" style="1758" customWidth="1"/>
    <col min="11" max="11" width="5.75" style="1758" customWidth="1"/>
    <col min="12" max="16384" width="7.875" style="1758"/>
  </cols>
  <sheetData>
    <row r="21" spans="1:13" ht="26.25" customHeight="1" thickBot="1">
      <c r="A21" s="3514" t="s">
        <v>1929</v>
      </c>
      <c r="B21" s="3514"/>
      <c r="C21" s="3514"/>
      <c r="D21" s="3514"/>
      <c r="E21" s="3514"/>
      <c r="F21" s="3514"/>
      <c r="G21" s="3514"/>
      <c r="H21" s="3514"/>
      <c r="I21" s="3514"/>
      <c r="J21" s="3514"/>
      <c r="K21" s="3514"/>
    </row>
    <row r="22" spans="1:13" ht="22.5" customHeight="1" thickBot="1">
      <c r="A22" s="1746" t="s">
        <v>283</v>
      </c>
      <c r="B22" s="1759">
        <v>1391</v>
      </c>
      <c r="C22" s="1759">
        <v>1392</v>
      </c>
      <c r="D22" s="1759">
        <v>1393</v>
      </c>
      <c r="E22" s="1759">
        <v>1394</v>
      </c>
      <c r="F22" s="1759">
        <v>1395</v>
      </c>
      <c r="G22" s="1759">
        <v>1396</v>
      </c>
      <c r="H22" s="1759">
        <v>1397</v>
      </c>
      <c r="I22" s="1759">
        <v>1398</v>
      </c>
      <c r="J22" s="1759">
        <v>1399</v>
      </c>
      <c r="K22" s="1759">
        <v>1400</v>
      </c>
      <c r="L22" s="1760">
        <v>1401</v>
      </c>
      <c r="M22" s="1760">
        <v>1402</v>
      </c>
    </row>
    <row r="23" spans="1:13" ht="19.5" thickBot="1">
      <c r="A23" s="1761" t="s">
        <v>1930</v>
      </c>
      <c r="B23" s="1749">
        <v>21184</v>
      </c>
      <c r="C23" s="1749">
        <v>28613</v>
      </c>
      <c r="D23" s="1749">
        <v>28354</v>
      </c>
      <c r="E23" s="1749">
        <v>37760</v>
      </c>
      <c r="F23" s="1749">
        <v>38054</v>
      </c>
      <c r="G23" s="1749">
        <v>32638</v>
      </c>
      <c r="H23" s="1749">
        <v>34355</v>
      </c>
      <c r="I23" s="1749">
        <v>48607</v>
      </c>
      <c r="J23" s="1749">
        <v>95472</v>
      </c>
      <c r="K23" s="1759">
        <v>50690</v>
      </c>
      <c r="L23" s="1760">
        <v>51156</v>
      </c>
      <c r="M23" s="1760">
        <v>61302</v>
      </c>
    </row>
    <row r="24" spans="1:13" ht="15.75">
      <c r="A24" s="1762"/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</row>
    <row r="25" spans="1:13" ht="15.75">
      <c r="A25" s="1762"/>
      <c r="B25" s="1762"/>
      <c r="C25" s="1762"/>
      <c r="D25" s="1762"/>
      <c r="E25" s="1762"/>
      <c r="F25" s="1762"/>
      <c r="G25" s="1762"/>
      <c r="H25" s="1762"/>
      <c r="I25" s="1762"/>
      <c r="J25" s="1762"/>
      <c r="K25" s="1762"/>
    </row>
    <row r="26" spans="1:13" ht="28.5" customHeight="1" thickBot="1">
      <c r="A26" s="3514" t="s">
        <v>1931</v>
      </c>
      <c r="B26" s="3514"/>
      <c r="C26" s="3514"/>
      <c r="D26" s="3514"/>
      <c r="E26" s="3514"/>
      <c r="F26" s="3514"/>
      <c r="G26" s="3514"/>
      <c r="H26" s="3514"/>
      <c r="I26" s="3514"/>
      <c r="J26" s="3514"/>
      <c r="K26" s="3514"/>
    </row>
    <row r="27" spans="1:13" ht="38.25" customHeight="1">
      <c r="A27" s="1763" t="s">
        <v>1932</v>
      </c>
      <c r="B27" s="3515" t="s">
        <v>1933</v>
      </c>
      <c r="C27" s="3515"/>
      <c r="D27" s="3516" t="s">
        <v>1934</v>
      </c>
      <c r="E27" s="3517"/>
      <c r="F27" s="3515" t="s">
        <v>1935</v>
      </c>
      <c r="G27" s="3515"/>
      <c r="H27" s="3515"/>
      <c r="I27" s="3515" t="s">
        <v>1936</v>
      </c>
      <c r="J27" s="3515"/>
      <c r="K27" s="3518"/>
    </row>
    <row r="28" spans="1:13" ht="19.5" thickBot="1">
      <c r="A28" s="1764">
        <v>83955</v>
      </c>
      <c r="B28" s="3521">
        <v>1115</v>
      </c>
      <c r="C28" s="3521"/>
      <c r="D28" s="3521">
        <v>236</v>
      </c>
      <c r="E28" s="3521"/>
      <c r="F28" s="3521">
        <v>61304</v>
      </c>
      <c r="G28" s="3521"/>
      <c r="H28" s="3521"/>
      <c r="I28" s="3521">
        <v>24002</v>
      </c>
      <c r="J28" s="3521"/>
      <c r="K28" s="3522"/>
    </row>
    <row r="29" spans="1:13" ht="19.5" thickBot="1">
      <c r="A29" s="3523">
        <f>SUM(A28:E28)</f>
        <v>85306</v>
      </c>
      <c r="B29" s="3524"/>
      <c r="C29" s="3524"/>
      <c r="D29" s="3524"/>
      <c r="E29" s="3524"/>
      <c r="F29" s="3524">
        <f>SUM(F28:K28)</f>
        <v>85306</v>
      </c>
      <c r="G29" s="3524"/>
      <c r="H29" s="3524"/>
      <c r="I29" s="3524"/>
      <c r="J29" s="3524"/>
      <c r="K29" s="3525"/>
    </row>
    <row r="30" spans="1:13" ht="15.75">
      <c r="A30" s="3519"/>
      <c r="B30" s="3519"/>
      <c r="C30" s="3519"/>
      <c r="D30" s="3519"/>
      <c r="E30" s="3519"/>
      <c r="F30" s="3519"/>
      <c r="G30" s="3519"/>
      <c r="H30" s="3519"/>
      <c r="I30" s="3519"/>
      <c r="J30" s="3519"/>
      <c r="K30" s="3519"/>
    </row>
    <row r="31" spans="1:13" ht="15.75" hidden="1" customHeight="1">
      <c r="A31" s="1762"/>
      <c r="B31" s="1762"/>
      <c r="C31" s="1762"/>
      <c r="D31" s="1762"/>
      <c r="E31" s="1762"/>
      <c r="F31" s="1762"/>
      <c r="G31" s="1762"/>
      <c r="H31" s="1762"/>
      <c r="I31" s="1762"/>
      <c r="J31" s="1762"/>
      <c r="K31" s="1762"/>
    </row>
    <row r="32" spans="1:13">
      <c r="A32" s="3520" t="s">
        <v>1937</v>
      </c>
      <c r="B32" s="3520"/>
      <c r="C32" s="3520"/>
      <c r="D32" s="3520"/>
      <c r="E32" s="3520"/>
      <c r="F32" s="3520"/>
      <c r="G32" s="3520"/>
      <c r="H32" s="3520"/>
      <c r="I32" s="3520"/>
      <c r="J32" s="3520"/>
      <c r="K32" s="3520"/>
    </row>
  </sheetData>
  <mergeCells count="14">
    <mergeCell ref="A30:K30"/>
    <mergeCell ref="A32:K32"/>
    <mergeCell ref="B28:C28"/>
    <mergeCell ref="D28:E28"/>
    <mergeCell ref="F28:H28"/>
    <mergeCell ref="I28:K28"/>
    <mergeCell ref="A29:E29"/>
    <mergeCell ref="F29:K29"/>
    <mergeCell ref="A21:K21"/>
    <mergeCell ref="A26:K26"/>
    <mergeCell ref="B27:C27"/>
    <mergeCell ref="D27:E27"/>
    <mergeCell ref="F27:H27"/>
    <mergeCell ref="I27:K27"/>
  </mergeCells>
  <printOptions horizontalCentered="1" verticalCentered="1"/>
  <pageMargins left="0.23622047244094491" right="0.31496062992125984" top="0.98425196850393704" bottom="0.98425196850393704" header="0.51181102362204722" footer="0.51181102362204722"/>
  <pageSetup paperSize="9" scale="83" firstPageNumber="94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0000"/>
    <pageSetUpPr fitToPage="1"/>
  </sheetPr>
  <dimension ref="A1:Z17"/>
  <sheetViews>
    <sheetView rightToLeft="1" workbookViewId="0">
      <selection sqref="A1:Z18"/>
    </sheetView>
  </sheetViews>
  <sheetFormatPr defaultColWidth="9.125" defaultRowHeight="14.25"/>
  <cols>
    <col min="1" max="1" width="7.875" style="1643" bestFit="1" customWidth="1"/>
    <col min="2" max="2" width="8" style="1643" bestFit="1" customWidth="1"/>
    <col min="3" max="3" width="6.875" style="1643" bestFit="1" customWidth="1"/>
    <col min="4" max="4" width="8" style="1643" bestFit="1" customWidth="1"/>
    <col min="5" max="5" width="7.25" style="1643" bestFit="1" customWidth="1"/>
    <col min="6" max="6" width="6.375" style="1643" bestFit="1" customWidth="1"/>
    <col min="7" max="7" width="6.625" style="1643" bestFit="1" customWidth="1"/>
    <col min="8" max="8" width="6.875" style="1643" bestFit="1" customWidth="1"/>
    <col min="9" max="9" width="6.25" style="1643" bestFit="1" customWidth="1"/>
    <col min="10" max="10" width="8.25" style="1643" bestFit="1" customWidth="1"/>
    <col min="11" max="11" width="6.875" style="1643" bestFit="1" customWidth="1"/>
    <col min="12" max="12" width="7.75" style="1643" bestFit="1" customWidth="1"/>
    <col min="13" max="14" width="8.875" style="1643" bestFit="1" customWidth="1"/>
    <col min="15" max="15" width="8.625" style="1643" bestFit="1" customWidth="1"/>
    <col min="16" max="16" width="7.375" style="1643" bestFit="1" customWidth="1"/>
    <col min="17" max="17" width="8.25" style="1643" bestFit="1" customWidth="1"/>
    <col min="18" max="18" width="8.125" style="1643" bestFit="1" customWidth="1"/>
    <col min="19" max="19" width="6.625" style="1643" bestFit="1" customWidth="1"/>
    <col min="20" max="20" width="6.25" style="1643" bestFit="1" customWidth="1"/>
    <col min="21" max="21" width="7.125" style="1643" bestFit="1" customWidth="1"/>
    <col min="22" max="22" width="4.875" style="1643" bestFit="1" customWidth="1"/>
    <col min="23" max="23" width="9" style="1643" bestFit="1" customWidth="1"/>
    <col min="24" max="24" width="7.875" style="1643" bestFit="1" customWidth="1"/>
    <col min="25" max="25" width="8.75" style="1643" bestFit="1" customWidth="1"/>
    <col min="26" max="26" width="9.625" style="1643" bestFit="1" customWidth="1"/>
    <col min="27" max="16384" width="9.125" style="1643"/>
  </cols>
  <sheetData>
    <row r="1" spans="1:26" ht="26.25">
      <c r="A1" s="3526" t="s">
        <v>1861</v>
      </c>
      <c r="B1" s="3527"/>
      <c r="C1" s="3527"/>
      <c r="D1" s="3527"/>
      <c r="E1" s="3527"/>
      <c r="F1" s="3527"/>
      <c r="G1" s="3527"/>
      <c r="H1" s="3527"/>
      <c r="I1" s="3527"/>
      <c r="J1" s="3527"/>
      <c r="K1" s="3527"/>
      <c r="L1" s="3527"/>
      <c r="M1" s="3527"/>
      <c r="N1" s="3527"/>
      <c r="O1" s="3527"/>
      <c r="P1" s="3527"/>
      <c r="Q1" s="3527"/>
      <c r="R1" s="3527"/>
      <c r="S1" s="3527"/>
      <c r="T1" s="3527"/>
      <c r="U1" s="3527"/>
      <c r="V1" s="3527"/>
      <c r="W1" s="3527"/>
      <c r="X1" s="3527"/>
      <c r="Y1" s="3527"/>
      <c r="Z1" s="3528"/>
    </row>
    <row r="2" spans="1:26" ht="15.75">
      <c r="A2" s="3529" t="s">
        <v>64</v>
      </c>
      <c r="B2" s="3530"/>
      <c r="C2" s="3530"/>
      <c r="D2" s="3530"/>
      <c r="E2" s="3530"/>
      <c r="F2" s="3530"/>
      <c r="G2" s="3530"/>
      <c r="H2" s="3530"/>
      <c r="I2" s="3530"/>
      <c r="J2" s="3530"/>
      <c r="K2" s="3530"/>
      <c r="L2" s="3530"/>
      <c r="M2" s="3530"/>
      <c r="N2" s="3530"/>
      <c r="O2" s="3530"/>
      <c r="P2" s="3530"/>
      <c r="Q2" s="3530"/>
      <c r="R2" s="3530"/>
      <c r="S2" s="3530"/>
      <c r="T2" s="3530"/>
      <c r="U2" s="3530"/>
      <c r="V2" s="3530"/>
      <c r="W2" s="3530"/>
      <c r="X2" s="3530"/>
      <c r="Y2" s="3530"/>
      <c r="Z2" s="3531"/>
    </row>
    <row r="3" spans="1:26" ht="19.5">
      <c r="A3" s="3532" t="s">
        <v>1</v>
      </c>
      <c r="B3" s="3533" t="s">
        <v>1862</v>
      </c>
      <c r="C3" s="3533"/>
      <c r="D3" s="3533"/>
      <c r="E3" s="3533"/>
      <c r="F3" s="3533"/>
      <c r="G3" s="3533"/>
      <c r="H3" s="3533"/>
      <c r="I3" s="3533"/>
      <c r="J3" s="3533"/>
      <c r="K3" s="3533"/>
      <c r="L3" s="3533"/>
      <c r="M3" s="3533"/>
      <c r="N3" s="3533"/>
      <c r="O3" s="3533"/>
      <c r="P3" s="3533"/>
      <c r="Q3" s="3533"/>
      <c r="R3" s="3533"/>
      <c r="S3" s="3533"/>
      <c r="T3" s="3533"/>
      <c r="U3" s="3533"/>
      <c r="V3" s="3533"/>
      <c r="W3" s="3533"/>
      <c r="X3" s="3533" t="s">
        <v>1863</v>
      </c>
      <c r="Y3" s="3533"/>
      <c r="Z3" s="3534" t="s">
        <v>387</v>
      </c>
    </row>
    <row r="4" spans="1:26" ht="51.75">
      <c r="A4" s="3532"/>
      <c r="B4" s="1662" t="s">
        <v>68</v>
      </c>
      <c r="C4" s="1662" t="s">
        <v>69</v>
      </c>
      <c r="D4" s="1662" t="s">
        <v>70</v>
      </c>
      <c r="E4" s="1662" t="s">
        <v>71</v>
      </c>
      <c r="F4" s="1662" t="s">
        <v>72</v>
      </c>
      <c r="G4" s="1662" t="s">
        <v>73</v>
      </c>
      <c r="H4" s="1662" t="s">
        <v>483</v>
      </c>
      <c r="I4" s="1662" t="s">
        <v>401</v>
      </c>
      <c r="J4" s="1662" t="s">
        <v>76</v>
      </c>
      <c r="K4" s="1662" t="s">
        <v>77</v>
      </c>
      <c r="L4" s="1662" t="s">
        <v>78</v>
      </c>
      <c r="M4" s="1662" t="s">
        <v>79</v>
      </c>
      <c r="N4" s="1662" t="s">
        <v>402</v>
      </c>
      <c r="O4" s="1662" t="s">
        <v>83</v>
      </c>
      <c r="P4" s="1662" t="s">
        <v>82</v>
      </c>
      <c r="Q4" s="1662" t="s">
        <v>81</v>
      </c>
      <c r="R4" s="1662" t="s">
        <v>84</v>
      </c>
      <c r="S4" s="1662" t="s">
        <v>86</v>
      </c>
      <c r="T4" s="1662" t="s">
        <v>85</v>
      </c>
      <c r="U4" s="1662" t="s">
        <v>87</v>
      </c>
      <c r="V4" s="1662" t="s">
        <v>88</v>
      </c>
      <c r="W4" s="1662" t="s">
        <v>49</v>
      </c>
      <c r="X4" s="1663" t="s">
        <v>1864</v>
      </c>
      <c r="Y4" s="1662" t="s">
        <v>1865</v>
      </c>
      <c r="Z4" s="3534"/>
    </row>
    <row r="5" spans="1:26" ht="17.25">
      <c r="A5" s="1664" t="s">
        <v>37</v>
      </c>
      <c r="B5" s="1665">
        <f>741887726810</f>
        <v>741887726810</v>
      </c>
      <c r="C5" s="1665">
        <f>13816033101</f>
        <v>13816033101</v>
      </c>
      <c r="D5" s="1666">
        <f>142195003766</f>
        <v>142195003766</v>
      </c>
      <c r="E5" s="1666">
        <f>226507775667</f>
        <v>226507775667</v>
      </c>
      <c r="F5" s="1665">
        <f>95585689152</f>
        <v>95585689152</v>
      </c>
      <c r="G5" s="1665">
        <f>46415691106</f>
        <v>46415691106</v>
      </c>
      <c r="H5" s="1665">
        <f>47559328631</f>
        <v>47559328631</v>
      </c>
      <c r="I5" s="1665">
        <f>5968370684</f>
        <v>5968370684</v>
      </c>
      <c r="J5" s="1665">
        <f>136359399789</f>
        <v>136359399789</v>
      </c>
      <c r="K5" s="1665">
        <f>14153528219</f>
        <v>14153528219</v>
      </c>
      <c r="L5" s="1665">
        <f>143062140138</f>
        <v>143062140138</v>
      </c>
      <c r="M5" s="1665">
        <f>1287061544424</f>
        <v>1287061544424</v>
      </c>
      <c r="N5" s="1665">
        <f>1112688942900</f>
        <v>1112688942900</v>
      </c>
      <c r="O5" s="1665">
        <f>1343302377328</f>
        <v>1343302377328</v>
      </c>
      <c r="P5" s="1665">
        <f>108312320375</f>
        <v>108312320375</v>
      </c>
      <c r="Q5" s="1665">
        <f>150878453057</f>
        <v>150878453057</v>
      </c>
      <c r="R5" s="1665">
        <f>1170894290905</f>
        <v>1170894290905</v>
      </c>
      <c r="S5" s="1665">
        <f>12318207579</f>
        <v>12318207579</v>
      </c>
      <c r="T5" s="1665">
        <f>9608719876</f>
        <v>9608719876</v>
      </c>
      <c r="U5" s="1665">
        <f>12458071232</f>
        <v>12458071232</v>
      </c>
      <c r="V5" s="1667">
        <v>0</v>
      </c>
      <c r="W5" s="1667">
        <f>SUM(B5:V5)</f>
        <v>6821033614739</v>
      </c>
      <c r="X5" s="1668">
        <v>429863295538</v>
      </c>
      <c r="Y5" s="1669">
        <v>768272686604</v>
      </c>
      <c r="Z5" s="1670">
        <f>W5+X5+Y5</f>
        <v>8019169596881</v>
      </c>
    </row>
    <row r="6" spans="1:26" ht="17.25">
      <c r="A6" s="1664" t="s">
        <v>38</v>
      </c>
      <c r="B6" s="1665">
        <f>624906341592</f>
        <v>624906341592</v>
      </c>
      <c r="C6" s="1665">
        <f>22465525203</f>
        <v>22465525203</v>
      </c>
      <c r="D6" s="1665">
        <f>120984596110</f>
        <v>120984596110</v>
      </c>
      <c r="E6" s="1665">
        <f>226703715338</f>
        <v>226703715338</v>
      </c>
      <c r="F6" s="1665">
        <f>77904641161</f>
        <v>77904641161</v>
      </c>
      <c r="G6" s="1665">
        <f>54106027025</f>
        <v>54106027025</v>
      </c>
      <c r="H6" s="1665">
        <f>67659173511</f>
        <v>67659173511</v>
      </c>
      <c r="I6" s="1665">
        <f>5777377284</f>
        <v>5777377284</v>
      </c>
      <c r="J6" s="1665">
        <f>140385604922</f>
        <v>140385604922</v>
      </c>
      <c r="K6" s="1665">
        <f>21558374877</f>
        <v>21558374877</v>
      </c>
      <c r="L6" s="1665">
        <f>113793290284</f>
        <v>113793290284</v>
      </c>
      <c r="M6" s="1665">
        <f>1163895772090</f>
        <v>1163895772090</v>
      </c>
      <c r="N6" s="1665">
        <f>1112925492516</f>
        <v>1112925492516</v>
      </c>
      <c r="O6" s="1665">
        <f>1168659614792</f>
        <v>1168659614792</v>
      </c>
      <c r="P6" s="1665">
        <f>86710031757</f>
        <v>86710031757</v>
      </c>
      <c r="Q6" s="1665">
        <f>176555868116</f>
        <v>176555868116</v>
      </c>
      <c r="R6" s="1665">
        <f>1092751723996</f>
        <v>1092751723996</v>
      </c>
      <c r="S6" s="1665">
        <f>32534890997</f>
        <v>32534890997</v>
      </c>
      <c r="T6" s="1665">
        <f>8868143745</f>
        <v>8868143745</v>
      </c>
      <c r="U6" s="1665">
        <f>29726750942</f>
        <v>29726750942</v>
      </c>
      <c r="V6" s="1667">
        <v>0</v>
      </c>
      <c r="W6" s="1667">
        <f t="shared" ref="W6:W16" si="0">SUM(B6:V6)</f>
        <v>6348872956258</v>
      </c>
      <c r="X6" s="1668">
        <v>402087445457</v>
      </c>
      <c r="Y6" s="1669">
        <v>713520002415</v>
      </c>
      <c r="Z6" s="1670">
        <f t="shared" ref="Z6:Z16" si="1">W6+X6+Y6</f>
        <v>7464480404130</v>
      </c>
    </row>
    <row r="7" spans="1:26" ht="17.25">
      <c r="A7" s="1664" t="s">
        <v>39</v>
      </c>
      <c r="B7" s="1665">
        <f>818142596477</f>
        <v>818142596477</v>
      </c>
      <c r="C7" s="1665">
        <f>37388334795</f>
        <v>37388334795</v>
      </c>
      <c r="D7" s="1665">
        <f>165576995663</f>
        <v>165576995663</v>
      </c>
      <c r="E7" s="1665">
        <f>336333367458</f>
        <v>336333367458</v>
      </c>
      <c r="F7" s="1665">
        <f>104133500018</f>
        <v>104133500018</v>
      </c>
      <c r="G7" s="1665">
        <f>70168599227</f>
        <v>70168599227</v>
      </c>
      <c r="H7" s="1665">
        <f>81284362635</f>
        <v>81284362635</v>
      </c>
      <c r="I7" s="1665">
        <f>11541197080</f>
        <v>11541197080</v>
      </c>
      <c r="J7" s="1665">
        <f>313424929643</f>
        <v>313424929643</v>
      </c>
      <c r="K7" s="1665">
        <f>31875048681</f>
        <v>31875048681</v>
      </c>
      <c r="L7" s="1665">
        <f>192374403941</f>
        <v>192374403941</v>
      </c>
      <c r="M7" s="1665">
        <f>1517391643559</f>
        <v>1517391643559</v>
      </c>
      <c r="N7" s="1665">
        <f>1581017630307</f>
        <v>1581017630307</v>
      </c>
      <c r="O7" s="1665">
        <f>1539685268546</f>
        <v>1539685268546</v>
      </c>
      <c r="P7" s="1665">
        <f>104319111355</f>
        <v>104319111355</v>
      </c>
      <c r="Q7" s="1665">
        <f>242662864433</f>
        <v>242662864433</v>
      </c>
      <c r="R7" s="1665">
        <f>1233616840080</f>
        <v>1233616840080</v>
      </c>
      <c r="S7" s="1665">
        <f>45202857035</f>
        <v>45202857035</v>
      </c>
      <c r="T7" s="1665">
        <f>20792152657</f>
        <v>20792152657</v>
      </c>
      <c r="U7" s="1665">
        <f>47470260463</f>
        <v>47470260463</v>
      </c>
      <c r="V7" s="1667">
        <v>0</v>
      </c>
      <c r="W7" s="1667">
        <f t="shared" si="0"/>
        <v>8494401964053</v>
      </c>
      <c r="X7" s="1668">
        <v>436195468934</v>
      </c>
      <c r="Y7" s="1669">
        <v>789510616088</v>
      </c>
      <c r="Z7" s="1670">
        <f t="shared" si="1"/>
        <v>9720108049075</v>
      </c>
    </row>
    <row r="8" spans="1:26" ht="17.25">
      <c r="A8" s="1664" t="s">
        <v>40</v>
      </c>
      <c r="B8" s="1665">
        <f>782760468975</f>
        <v>782760468975</v>
      </c>
      <c r="C8" s="1665">
        <f>24924145869</f>
        <v>24924145869</v>
      </c>
      <c r="D8" s="1665">
        <f>216094274637</f>
        <v>216094274637</v>
      </c>
      <c r="E8" s="1665">
        <f>321258392147</f>
        <v>321258392147</v>
      </c>
      <c r="F8" s="1665">
        <f>74721940410</f>
        <v>74721940410</v>
      </c>
      <c r="G8" s="1665">
        <f>78879599916</f>
        <v>78879599916</v>
      </c>
      <c r="H8" s="1665">
        <f>73188955856</f>
        <v>73188955856</v>
      </c>
      <c r="I8" s="1665">
        <f>6366241082</f>
        <v>6366241082</v>
      </c>
      <c r="J8" s="1665">
        <f>248343758433</f>
        <v>248343758433</v>
      </c>
      <c r="K8" s="1665">
        <f>19522332070</f>
        <v>19522332070</v>
      </c>
      <c r="L8" s="1665">
        <f>146741675684</f>
        <v>146741675684</v>
      </c>
      <c r="M8" s="1665">
        <f>1441538079505</f>
        <v>1441538079505</v>
      </c>
      <c r="N8" s="1665">
        <f>1269935443133</f>
        <v>1269935443133</v>
      </c>
      <c r="O8" s="1665">
        <f>1259893670450</f>
        <v>1259893670450</v>
      </c>
      <c r="P8" s="1665">
        <f>91532849228</f>
        <v>91532849228</v>
      </c>
      <c r="Q8" s="1665">
        <f>166285357319</f>
        <v>166285357319</v>
      </c>
      <c r="R8" s="1665">
        <f>1162325947545</f>
        <v>1162325947545</v>
      </c>
      <c r="S8" s="1665">
        <f>19854686868</f>
        <v>19854686868</v>
      </c>
      <c r="T8" s="1665">
        <f>65119143058</f>
        <v>65119143058</v>
      </c>
      <c r="U8" s="1665">
        <f>39743437208</f>
        <v>39743437208</v>
      </c>
      <c r="V8" s="1667">
        <v>0</v>
      </c>
      <c r="W8" s="1667">
        <f t="shared" si="0"/>
        <v>7509030399393</v>
      </c>
      <c r="X8" s="1668">
        <v>367624435305</v>
      </c>
      <c r="Y8" s="1669">
        <v>524351975864</v>
      </c>
      <c r="Z8" s="1670">
        <f t="shared" si="1"/>
        <v>8401006810562</v>
      </c>
    </row>
    <row r="9" spans="1:26" ht="17.25">
      <c r="A9" s="1664" t="s">
        <v>41</v>
      </c>
      <c r="B9" s="1665">
        <f>764824793711</f>
        <v>764824793711</v>
      </c>
      <c r="C9" s="1665">
        <f>57869043187</f>
        <v>57869043187</v>
      </c>
      <c r="D9" s="1665">
        <f>251326255664</f>
        <v>251326255664</v>
      </c>
      <c r="E9" s="1665">
        <f>252407504029</f>
        <v>252407504029</v>
      </c>
      <c r="F9" s="1665">
        <f>68367634965</f>
        <v>68367634965</v>
      </c>
      <c r="G9" s="1665">
        <f>105555614266</f>
        <v>105555614266</v>
      </c>
      <c r="H9" s="1665">
        <f>81396380480</f>
        <v>81396380480</v>
      </c>
      <c r="I9" s="1665">
        <f>7325600875</f>
        <v>7325600875</v>
      </c>
      <c r="J9" s="1665">
        <f>204203661645</f>
        <v>204203661645</v>
      </c>
      <c r="K9" s="1665">
        <f>35195125998</f>
        <v>35195125998</v>
      </c>
      <c r="L9" s="1665">
        <f>114245654820</f>
        <v>114245654820</v>
      </c>
      <c r="M9" s="1665">
        <f>1474474364912</f>
        <v>1474474364912</v>
      </c>
      <c r="N9" s="1665">
        <f>1239580178414</f>
        <v>1239580178414</v>
      </c>
      <c r="O9" s="1665">
        <f>1175409332837</f>
        <v>1175409332837</v>
      </c>
      <c r="P9" s="1665">
        <f>111017413714</f>
        <v>111017413714</v>
      </c>
      <c r="Q9" s="1665">
        <f>239724437084</f>
        <v>239724437084</v>
      </c>
      <c r="R9" s="1665">
        <f>1475264482625</f>
        <v>1475264482625</v>
      </c>
      <c r="S9" s="1665">
        <f>22851829629</f>
        <v>22851829629</v>
      </c>
      <c r="T9" s="1665">
        <f>31014805348</f>
        <v>31014805348</v>
      </c>
      <c r="U9" s="1665">
        <f>112801270457</f>
        <v>112801270457</v>
      </c>
      <c r="V9" s="1667">
        <v>0</v>
      </c>
      <c r="W9" s="1667">
        <f t="shared" si="0"/>
        <v>7824855384660</v>
      </c>
      <c r="X9" s="1668">
        <v>442034269613</v>
      </c>
      <c r="Y9" s="1669">
        <v>458647270330</v>
      </c>
      <c r="Z9" s="1670">
        <f t="shared" si="1"/>
        <v>8725536924603</v>
      </c>
    </row>
    <row r="10" spans="1:26" ht="17.25">
      <c r="A10" s="1664" t="s">
        <v>42</v>
      </c>
      <c r="B10" s="1665">
        <f>681143553917</f>
        <v>681143553917</v>
      </c>
      <c r="C10" s="1665">
        <f>14232681461</f>
        <v>14232681461</v>
      </c>
      <c r="D10" s="1665">
        <f>244866536484</f>
        <v>244866536484</v>
      </c>
      <c r="E10" s="1665">
        <f>242733769553</f>
        <v>242733769553</v>
      </c>
      <c r="F10" s="1665">
        <f>57757036603</f>
        <v>57757036603</v>
      </c>
      <c r="G10" s="1665">
        <f>115782627532</f>
        <v>115782627532</v>
      </c>
      <c r="H10" s="1665">
        <f>89620710687</f>
        <v>89620710687</v>
      </c>
      <c r="I10" s="1665">
        <f>9860100173</f>
        <v>9860100173</v>
      </c>
      <c r="J10" s="1665">
        <f>232182465913</f>
        <v>232182465913</v>
      </c>
      <c r="K10" s="1665">
        <f>39624131537</f>
        <v>39624131537</v>
      </c>
      <c r="L10" s="1665">
        <f>139345126246</f>
        <v>139345126246</v>
      </c>
      <c r="M10" s="1665">
        <f>1490689849197</f>
        <v>1490689849197</v>
      </c>
      <c r="N10" s="1665">
        <f>1289390809780</f>
        <v>1289390809780</v>
      </c>
      <c r="O10" s="1665">
        <f>1310328713472</f>
        <v>1310328713472</v>
      </c>
      <c r="P10" s="1665">
        <f>101770460601</f>
        <v>101770460601</v>
      </c>
      <c r="Q10" s="1665">
        <f>218144108183</f>
        <v>218144108183</v>
      </c>
      <c r="R10" s="1665">
        <f>1523745510817</f>
        <v>1523745510817</v>
      </c>
      <c r="S10" s="1665">
        <f>12286179613</f>
        <v>12286179613</v>
      </c>
      <c r="T10" s="1665">
        <f>33912396138</f>
        <v>33912396138</v>
      </c>
      <c r="U10" s="1665">
        <f>57195378626</f>
        <v>57195378626</v>
      </c>
      <c r="V10" s="1667">
        <v>0</v>
      </c>
      <c r="W10" s="1667">
        <f t="shared" si="0"/>
        <v>7904612146533</v>
      </c>
      <c r="X10" s="1668">
        <v>505512823869</v>
      </c>
      <c r="Y10" s="1669">
        <v>915463702872</v>
      </c>
      <c r="Z10" s="1670">
        <f t="shared" si="1"/>
        <v>9325588673274</v>
      </c>
    </row>
    <row r="11" spans="1:26" ht="17.25">
      <c r="A11" s="1664" t="s">
        <v>43</v>
      </c>
      <c r="B11" s="1665">
        <f>839626777508</f>
        <v>839626777508</v>
      </c>
      <c r="C11" s="1665">
        <f>26398701450</f>
        <v>26398701450</v>
      </c>
      <c r="D11" s="1665">
        <f>211706127031</f>
        <v>211706127031</v>
      </c>
      <c r="E11" s="1665">
        <f>303974570839</f>
        <v>303974570839</v>
      </c>
      <c r="F11" s="1665">
        <f>40407309932</f>
        <v>40407309932</v>
      </c>
      <c r="G11" s="1665">
        <f>53147708050</f>
        <v>53147708050</v>
      </c>
      <c r="H11" s="1665">
        <f>84453967285</f>
        <v>84453967285</v>
      </c>
      <c r="I11" s="1665">
        <f>16015836887</f>
        <v>16015836887</v>
      </c>
      <c r="J11" s="1665">
        <f>288873159299</f>
        <v>288873159299</v>
      </c>
      <c r="K11" s="1665">
        <f>44420036192</f>
        <v>44420036192</v>
      </c>
      <c r="L11" s="1665">
        <f>109549561764</f>
        <v>109549561764</v>
      </c>
      <c r="M11" s="1665">
        <f>1345488763319</f>
        <v>1345488763319</v>
      </c>
      <c r="N11" s="1665">
        <f>1383608323642</f>
        <v>1383608323642</v>
      </c>
      <c r="O11" s="1665">
        <f>1352743806481</f>
        <v>1352743806481</v>
      </c>
      <c r="P11" s="1665">
        <f>119138411425</f>
        <v>119138411425</v>
      </c>
      <c r="Q11" s="1665">
        <f>210612013558</f>
        <v>210612013558</v>
      </c>
      <c r="R11" s="1665">
        <f>1509327107494</f>
        <v>1509327107494</v>
      </c>
      <c r="S11" s="1665">
        <f>29854306412</f>
        <v>29854306412</v>
      </c>
      <c r="T11" s="1665">
        <f>16354331286</f>
        <v>16354331286</v>
      </c>
      <c r="U11" s="1665">
        <f>47390460169</f>
        <v>47390460169</v>
      </c>
      <c r="V11" s="1667">
        <v>0</v>
      </c>
      <c r="W11" s="1667">
        <f t="shared" si="0"/>
        <v>8033091280023</v>
      </c>
      <c r="X11" s="1668">
        <v>503751242462</v>
      </c>
      <c r="Y11" s="1669">
        <v>954948149902</v>
      </c>
      <c r="Z11" s="1670">
        <f t="shared" si="1"/>
        <v>9491790672387</v>
      </c>
    </row>
    <row r="12" spans="1:26" ht="17.25">
      <c r="A12" s="1664" t="s">
        <v>405</v>
      </c>
      <c r="B12" s="1665">
        <f>846199987283</f>
        <v>846199987283</v>
      </c>
      <c r="C12" s="1665">
        <f>30122530314</f>
        <v>30122530314</v>
      </c>
      <c r="D12" s="1665">
        <f>180631421711</f>
        <v>180631421711</v>
      </c>
      <c r="E12" s="1665">
        <f>275594088776</f>
        <v>275594088776</v>
      </c>
      <c r="F12" s="1665">
        <f>39755877351</f>
        <v>39755877351</v>
      </c>
      <c r="G12" s="1665">
        <f>23204503088</f>
        <v>23204503088</v>
      </c>
      <c r="H12" s="1665">
        <f>73807037105</f>
        <v>73807037105</v>
      </c>
      <c r="I12" s="1665">
        <f>6482251686</f>
        <v>6482251686</v>
      </c>
      <c r="J12" s="1665">
        <f>208427581227</f>
        <v>208427581227</v>
      </c>
      <c r="K12" s="1665">
        <f>23815746099</f>
        <v>23815746099</v>
      </c>
      <c r="L12" s="1665">
        <f>146780860000</f>
        <v>146780860000</v>
      </c>
      <c r="M12" s="1665">
        <f>1341066504938</f>
        <v>1341066504938</v>
      </c>
      <c r="N12" s="1665">
        <f>1345725117779</f>
        <v>1345725117779</v>
      </c>
      <c r="O12" s="1665">
        <f>1473405358654</f>
        <v>1473405358654</v>
      </c>
      <c r="P12" s="1665">
        <f>87151310820</f>
        <v>87151310820</v>
      </c>
      <c r="Q12" s="1665">
        <f>218351102325</f>
        <v>218351102325</v>
      </c>
      <c r="R12" s="1665">
        <f>1556528408472</f>
        <v>1556528408472</v>
      </c>
      <c r="S12" s="1665">
        <f>4958480556</f>
        <v>4958480556</v>
      </c>
      <c r="T12" s="1665">
        <f>24587861777</f>
        <v>24587861777</v>
      </c>
      <c r="U12" s="1665">
        <f>29111441794</f>
        <v>29111441794</v>
      </c>
      <c r="V12" s="1667">
        <v>0</v>
      </c>
      <c r="W12" s="1667">
        <f t="shared" si="0"/>
        <v>7935707471755</v>
      </c>
      <c r="X12" s="1668">
        <v>482012088622</v>
      </c>
      <c r="Y12" s="1669">
        <v>949528210219</v>
      </c>
      <c r="Z12" s="1670">
        <f t="shared" si="1"/>
        <v>9367247770596</v>
      </c>
    </row>
    <row r="13" spans="1:26" ht="17.25">
      <c r="A13" s="1664" t="s">
        <v>45</v>
      </c>
      <c r="B13" s="1665">
        <f>744490968784</f>
        <v>744490968784</v>
      </c>
      <c r="C13" s="1665">
        <f>18884037852</f>
        <v>18884037852</v>
      </c>
      <c r="D13" s="1665">
        <f>161452181348</f>
        <v>161452181348</v>
      </c>
      <c r="E13" s="1665">
        <f>226165122942</f>
        <v>226165122942</v>
      </c>
      <c r="F13" s="1665">
        <f>69080194420</f>
        <v>69080194420</v>
      </c>
      <c r="G13" s="1665">
        <f>43910279559</f>
        <v>43910279559</v>
      </c>
      <c r="H13" s="1665">
        <f>96336984565</f>
        <v>96336984565</v>
      </c>
      <c r="I13" s="1665">
        <f>15927713799</f>
        <v>15927713799</v>
      </c>
      <c r="J13" s="1665">
        <f>90166431490</f>
        <v>90166431490</v>
      </c>
      <c r="K13" s="1665">
        <f>18126817619</f>
        <v>18126817619</v>
      </c>
      <c r="L13" s="1665">
        <f>108385065176</f>
        <v>108385065176</v>
      </c>
      <c r="M13" s="1665">
        <f>1350336857483</f>
        <v>1350336857483</v>
      </c>
      <c r="N13" s="1665">
        <f>1177657311322</f>
        <v>1177657311322</v>
      </c>
      <c r="O13" s="1665">
        <f>1428484493187</f>
        <v>1428484493187</v>
      </c>
      <c r="P13" s="1665">
        <f>68150431972</f>
        <v>68150431972</v>
      </c>
      <c r="Q13" s="1665">
        <f>217059224099</f>
        <v>217059224099</v>
      </c>
      <c r="R13" s="1665">
        <f>1655969117733</f>
        <v>1655969117733</v>
      </c>
      <c r="S13" s="1665">
        <f>8600675654</f>
        <v>8600675654</v>
      </c>
      <c r="T13" s="1665">
        <f>22202595690</f>
        <v>22202595690</v>
      </c>
      <c r="U13" s="1665">
        <f>11889769733</f>
        <v>11889769733</v>
      </c>
      <c r="V13" s="1667">
        <v>0</v>
      </c>
      <c r="W13" s="1667">
        <f t="shared" si="0"/>
        <v>7533276274427</v>
      </c>
      <c r="X13" s="1668">
        <v>556479425630</v>
      </c>
      <c r="Y13" s="1669">
        <v>1167080373529</v>
      </c>
      <c r="Z13" s="1670">
        <f t="shared" si="1"/>
        <v>9256836073586</v>
      </c>
    </row>
    <row r="14" spans="1:26" ht="17.25">
      <c r="A14" s="1664" t="s">
        <v>406</v>
      </c>
      <c r="B14" s="1665">
        <f>703006472550</f>
        <v>703006472550</v>
      </c>
      <c r="C14" s="1665">
        <f>26734879305</f>
        <v>26734879305</v>
      </c>
      <c r="D14" s="1665">
        <f>134002952819</f>
        <v>134002952819</v>
      </c>
      <c r="E14" s="1665">
        <f>223463372789</f>
        <v>223463372789</v>
      </c>
      <c r="F14" s="1665">
        <f>76497629451</f>
        <v>76497629451</v>
      </c>
      <c r="G14" s="1665">
        <f>38709237854</f>
        <v>38709237854</v>
      </c>
      <c r="H14" s="1665">
        <f>84260558226</f>
        <v>84260558226</v>
      </c>
      <c r="I14" s="1665">
        <f>4285404367</f>
        <v>4285404367</v>
      </c>
      <c r="J14" s="1665">
        <f>111886082192</f>
        <v>111886082192</v>
      </c>
      <c r="K14" s="1665">
        <f>19876283455</f>
        <v>19876283455</v>
      </c>
      <c r="L14" s="1665">
        <f>106711483176</f>
        <v>106711483176</v>
      </c>
      <c r="M14" s="1665">
        <f>1301620305291</f>
        <v>1301620305291</v>
      </c>
      <c r="N14" s="1665">
        <f>1516982130738</f>
        <v>1516982130738</v>
      </c>
      <c r="O14" s="1665">
        <f>1398435739998</f>
        <v>1398435739998</v>
      </c>
      <c r="P14" s="1665">
        <f>85475716712</f>
        <v>85475716712</v>
      </c>
      <c r="Q14" s="1665">
        <f>127368341634</f>
        <v>127368341634</v>
      </c>
      <c r="R14" s="1665">
        <f>1553695344039</f>
        <v>1553695344039</v>
      </c>
      <c r="S14" s="1665">
        <f>3050052619</f>
        <v>3050052619</v>
      </c>
      <c r="T14" s="1665">
        <f>31265631409</f>
        <v>31265631409</v>
      </c>
      <c r="U14" s="1665">
        <f>18289932880</f>
        <v>18289932880</v>
      </c>
      <c r="V14" s="1667">
        <v>0</v>
      </c>
      <c r="W14" s="1667">
        <f t="shared" si="0"/>
        <v>7565617551504</v>
      </c>
      <c r="X14" s="1668">
        <v>619269486524</v>
      </c>
      <c r="Y14" s="1669">
        <v>1102809617988</v>
      </c>
      <c r="Z14" s="1670">
        <f t="shared" si="1"/>
        <v>9287696656016</v>
      </c>
    </row>
    <row r="15" spans="1:26" ht="17.25">
      <c r="A15" s="1664" t="s">
        <v>47</v>
      </c>
      <c r="B15" s="1665">
        <f>808249376912</f>
        <v>808249376912</v>
      </c>
      <c r="C15" s="1665">
        <f>23758176040</f>
        <v>23758176040</v>
      </c>
      <c r="D15" s="1665">
        <f>130246130236</f>
        <v>130246130236</v>
      </c>
      <c r="E15" s="1665">
        <f>224079850600</f>
        <v>224079850600</v>
      </c>
      <c r="F15" s="1665">
        <f>71121018758</f>
        <v>71121018758</v>
      </c>
      <c r="G15" s="1665">
        <f>74791494286</f>
        <v>74791494286</v>
      </c>
      <c r="H15" s="1665">
        <f>60234082319</f>
        <v>60234082319</v>
      </c>
      <c r="I15" s="1665">
        <f>12542032715</f>
        <v>12542032715</v>
      </c>
      <c r="J15" s="1665">
        <f>188941069548</f>
        <v>188941069548</v>
      </c>
      <c r="K15" s="1665">
        <f>75384117476</f>
        <v>75384117476</v>
      </c>
      <c r="L15" s="1665">
        <f>91760251608</f>
        <v>91760251608</v>
      </c>
      <c r="M15" s="1665">
        <f>1451772870818</f>
        <v>1451772870818</v>
      </c>
      <c r="N15" s="1665">
        <f>1406620829985</f>
        <v>1406620829985</v>
      </c>
      <c r="O15" s="1665">
        <f>1530698888809</f>
        <v>1530698888809</v>
      </c>
      <c r="P15" s="1665">
        <f>121984092672</f>
        <v>121984092672</v>
      </c>
      <c r="Q15" s="1665">
        <f>134416221809</f>
        <v>134416221809</v>
      </c>
      <c r="R15" s="1665">
        <f>1508101170343</f>
        <v>1508101170343</v>
      </c>
      <c r="S15" s="1665">
        <f>5541530795</f>
        <v>5541530795</v>
      </c>
      <c r="T15" s="1665">
        <f>38189641125</f>
        <v>38189641125</v>
      </c>
      <c r="U15" s="1665">
        <f>28785838278</f>
        <v>28785838278</v>
      </c>
      <c r="V15" s="1667">
        <v>0</v>
      </c>
      <c r="W15" s="1667">
        <f t="shared" si="0"/>
        <v>7987218685132</v>
      </c>
      <c r="X15" s="1668">
        <v>565575371632</v>
      </c>
      <c r="Y15" s="1669">
        <v>1270229854836</v>
      </c>
      <c r="Z15" s="1670">
        <f t="shared" si="1"/>
        <v>9823023911600</v>
      </c>
    </row>
    <row r="16" spans="1:26" ht="17.25">
      <c r="A16" s="1664" t="s">
        <v>48</v>
      </c>
      <c r="B16" s="1665">
        <f>801209686628</f>
        <v>801209686628</v>
      </c>
      <c r="C16" s="1666">
        <v>0</v>
      </c>
      <c r="D16" s="1665">
        <f>211292219268</f>
        <v>211292219268</v>
      </c>
      <c r="E16" s="1666">
        <f>246899861593</f>
        <v>246899861593</v>
      </c>
      <c r="F16" s="1665">
        <f>35333048995</f>
        <v>35333048995</v>
      </c>
      <c r="G16" s="1665">
        <f>131436710653</f>
        <v>131436710653</v>
      </c>
      <c r="H16" s="1666">
        <v>0</v>
      </c>
      <c r="I16" s="1665">
        <f>1316691118</f>
        <v>1316691118</v>
      </c>
      <c r="J16" s="1665">
        <f>70433522876</f>
        <v>70433522876</v>
      </c>
      <c r="K16" s="1665">
        <f>37376631088</f>
        <v>37376631088</v>
      </c>
      <c r="L16" s="1665">
        <f>108508150175</f>
        <v>108508150175</v>
      </c>
      <c r="M16" s="1665">
        <f>1184622206072</f>
        <v>1184622206072</v>
      </c>
      <c r="N16" s="1665">
        <f>1350013134774</f>
        <v>1350013134774</v>
      </c>
      <c r="O16" s="1665">
        <f>1440607179394</f>
        <v>1440607179394</v>
      </c>
      <c r="P16" s="1665">
        <f>122518341649</f>
        <v>122518341649</v>
      </c>
      <c r="Q16" s="1665">
        <f>137619136594</f>
        <v>137619136594</v>
      </c>
      <c r="R16" s="1665">
        <f>1468961842312</f>
        <v>1468961842312</v>
      </c>
      <c r="S16" s="1666">
        <v>0</v>
      </c>
      <c r="T16" s="1665">
        <f>10052154743</f>
        <v>10052154743</v>
      </c>
      <c r="U16" s="1665">
        <f>14669307825</f>
        <v>14669307825</v>
      </c>
      <c r="V16" s="1667">
        <v>0</v>
      </c>
      <c r="W16" s="1667">
        <f t="shared" si="0"/>
        <v>7372869825757</v>
      </c>
      <c r="X16" s="1668">
        <v>785875686739</v>
      </c>
      <c r="Y16" s="1669">
        <v>971049291152</v>
      </c>
      <c r="Z16" s="1670">
        <f t="shared" si="1"/>
        <v>9129794803648</v>
      </c>
    </row>
    <row r="17" spans="1:26" ht="18" thickBot="1">
      <c r="A17" s="1671" t="s">
        <v>49</v>
      </c>
      <c r="B17" s="1672">
        <f t="shared" ref="B17:U17" si="2">SUM(B5:B16)</f>
        <v>9156448751147</v>
      </c>
      <c r="C17" s="1672">
        <f t="shared" si="2"/>
        <v>296594088577</v>
      </c>
      <c r="D17" s="1672">
        <f t="shared" si="2"/>
        <v>2170374694737</v>
      </c>
      <c r="E17" s="1672">
        <f t="shared" si="2"/>
        <v>3106121391731</v>
      </c>
      <c r="F17" s="1672">
        <f t="shared" si="2"/>
        <v>810665521216</v>
      </c>
      <c r="G17" s="1672">
        <f t="shared" si="2"/>
        <v>836108092562</v>
      </c>
      <c r="H17" s="1672">
        <f t="shared" si="2"/>
        <v>839801541300</v>
      </c>
      <c r="I17" s="1672">
        <f t="shared" si="2"/>
        <v>103408817750</v>
      </c>
      <c r="J17" s="1672">
        <f t="shared" si="2"/>
        <v>2233627666977</v>
      </c>
      <c r="K17" s="1672">
        <f t="shared" si="2"/>
        <v>380928173311</v>
      </c>
      <c r="L17" s="1672">
        <f t="shared" si="2"/>
        <v>1521257663012</v>
      </c>
      <c r="M17" s="1672">
        <f t="shared" si="2"/>
        <v>16349958761608</v>
      </c>
      <c r="N17" s="1672">
        <f t="shared" si="2"/>
        <v>15786145345290</v>
      </c>
      <c r="O17" s="1672">
        <f t="shared" si="2"/>
        <v>16421654443948</v>
      </c>
      <c r="P17" s="1672">
        <f t="shared" si="2"/>
        <v>1208080492280</v>
      </c>
      <c r="Q17" s="1672">
        <f t="shared" si="2"/>
        <v>2239677128211</v>
      </c>
      <c r="R17" s="1672">
        <f t="shared" si="2"/>
        <v>16911181786361</v>
      </c>
      <c r="S17" s="1672">
        <f t="shared" si="2"/>
        <v>197053697757</v>
      </c>
      <c r="T17" s="1672">
        <f t="shared" si="2"/>
        <v>311967576852</v>
      </c>
      <c r="U17" s="1672">
        <f t="shared" si="2"/>
        <v>449531919607</v>
      </c>
      <c r="V17" s="1673">
        <f>SUM(V5:V16)</f>
        <v>0</v>
      </c>
      <c r="W17" s="1673">
        <f>SUM(W5:W16)</f>
        <v>91330587554234</v>
      </c>
      <c r="X17" s="1674">
        <f>SUM(X5:X16)</f>
        <v>6096281040325</v>
      </c>
      <c r="Y17" s="1675">
        <f>SUM(Y5:Y16)</f>
        <v>10585411751799</v>
      </c>
      <c r="Z17" s="1676">
        <f>SUM(Z5:Z16)</f>
        <v>108012280346358</v>
      </c>
    </row>
  </sheetData>
  <mergeCells count="6">
    <mergeCell ref="A1:Z1"/>
    <mergeCell ref="A2:Z2"/>
    <mergeCell ref="A3:A4"/>
    <mergeCell ref="B3:W3"/>
    <mergeCell ref="X3:Y3"/>
    <mergeCell ref="Z3:Z4"/>
  </mergeCells>
  <pageMargins left="0.25" right="0.25" top="0.75" bottom="0.75" header="0.3" footer="0.3"/>
  <pageSetup paperSize="9" scale="66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0000"/>
    <pageSetUpPr fitToPage="1"/>
  </sheetPr>
  <dimension ref="A1:T17"/>
  <sheetViews>
    <sheetView rightToLeft="1" workbookViewId="0">
      <selection sqref="A1:T17"/>
    </sheetView>
  </sheetViews>
  <sheetFormatPr defaultColWidth="9.125" defaultRowHeight="14.25"/>
  <cols>
    <col min="1" max="1" width="6.75" style="1643" bestFit="1" customWidth="1"/>
    <col min="2" max="2" width="4.75" style="1643" bestFit="1" customWidth="1"/>
    <col min="3" max="3" width="5.75" style="1643" bestFit="1" customWidth="1"/>
    <col min="4" max="4" width="4.625" style="1643" bestFit="1" customWidth="1"/>
    <col min="5" max="5" width="4.75" style="1643" bestFit="1" customWidth="1"/>
    <col min="6" max="6" width="7.125" style="1643" bestFit="1" customWidth="1"/>
    <col min="7" max="7" width="16.375" style="1643" bestFit="1" customWidth="1"/>
    <col min="8" max="8" width="6.875" style="1643" bestFit="1" customWidth="1"/>
    <col min="9" max="9" width="13.875" style="1643" bestFit="1" customWidth="1"/>
    <col min="10" max="10" width="4.125" style="1643" bestFit="1" customWidth="1"/>
    <col min="11" max="11" width="14.875" style="1643" bestFit="1" customWidth="1"/>
    <col min="12" max="12" width="5.875" style="1643" bestFit="1" customWidth="1"/>
    <col min="13" max="13" width="12.75" style="1643" bestFit="1" customWidth="1"/>
    <col min="14" max="14" width="3.125" style="1643" bestFit="1" customWidth="1"/>
    <col min="15" max="15" width="4.125" style="1643" bestFit="1" customWidth="1"/>
    <col min="16" max="16" width="4.875" style="1643" bestFit="1" customWidth="1"/>
    <col min="17" max="17" width="11.125" style="1643" bestFit="1" customWidth="1"/>
    <col min="18" max="18" width="5.625" style="1643" bestFit="1" customWidth="1"/>
    <col min="19" max="19" width="14.875" style="1643" bestFit="1" customWidth="1"/>
    <col min="20" max="20" width="14.625" style="1643" bestFit="1" customWidth="1"/>
    <col min="21" max="16384" width="9.125" style="1643"/>
  </cols>
  <sheetData>
    <row r="1" spans="1:20" ht="21">
      <c r="A1" s="3535" t="s">
        <v>1866</v>
      </c>
      <c r="B1" s="3536"/>
      <c r="C1" s="3536"/>
      <c r="D1" s="3536"/>
      <c r="E1" s="3536"/>
      <c r="F1" s="3536"/>
      <c r="G1" s="3536"/>
      <c r="H1" s="3536"/>
      <c r="I1" s="3536"/>
      <c r="J1" s="3536"/>
      <c r="K1" s="3536"/>
      <c r="L1" s="3536"/>
      <c r="M1" s="3536"/>
      <c r="N1" s="3536"/>
      <c r="O1" s="3536"/>
      <c r="P1" s="3536"/>
      <c r="Q1" s="3536"/>
      <c r="R1" s="3536"/>
      <c r="S1" s="3536"/>
      <c r="T1" s="3536"/>
    </row>
    <row r="2" spans="1:20" ht="15.75">
      <c r="A2" s="3537" t="s">
        <v>1867</v>
      </c>
      <c r="B2" s="3537"/>
      <c r="C2" s="3537"/>
      <c r="D2" s="3537"/>
      <c r="E2" s="3537"/>
      <c r="F2" s="3537"/>
      <c r="G2" s="3537"/>
      <c r="H2" s="3537"/>
      <c r="I2" s="3537"/>
      <c r="J2" s="3537"/>
      <c r="K2" s="3537"/>
      <c r="L2" s="3537"/>
      <c r="M2" s="3537"/>
      <c r="N2" s="3537"/>
      <c r="O2" s="3537"/>
      <c r="P2" s="3537"/>
      <c r="Q2" s="3537"/>
      <c r="R2" s="3537"/>
      <c r="S2" s="3537"/>
      <c r="T2" s="3537"/>
    </row>
    <row r="3" spans="1:20" ht="15.75">
      <c r="A3" s="1677" t="s">
        <v>1</v>
      </c>
      <c r="B3" s="1677" t="s">
        <v>71</v>
      </c>
      <c r="C3" s="1677" t="s">
        <v>69</v>
      </c>
      <c r="D3" s="1677" t="s">
        <v>1868</v>
      </c>
      <c r="E3" s="1677" t="s">
        <v>71</v>
      </c>
      <c r="F3" s="1677" t="s">
        <v>74</v>
      </c>
      <c r="G3" s="1677" t="s">
        <v>76</v>
      </c>
      <c r="H3" s="1677" t="s">
        <v>77</v>
      </c>
      <c r="I3" s="1677" t="s">
        <v>75</v>
      </c>
      <c r="J3" s="1677" t="s">
        <v>84</v>
      </c>
      <c r="K3" s="1677" t="s">
        <v>78</v>
      </c>
      <c r="L3" s="1677" t="s">
        <v>79</v>
      </c>
      <c r="M3" s="1677" t="s">
        <v>82</v>
      </c>
      <c r="N3" s="1677" t="s">
        <v>80</v>
      </c>
      <c r="O3" s="1677" t="s">
        <v>84</v>
      </c>
      <c r="P3" s="1677" t="s">
        <v>403</v>
      </c>
      <c r="Q3" s="1677" t="s">
        <v>72</v>
      </c>
      <c r="R3" s="1677" t="s">
        <v>73</v>
      </c>
      <c r="S3" s="1677" t="s">
        <v>83</v>
      </c>
      <c r="T3" s="1677" t="s">
        <v>49</v>
      </c>
    </row>
    <row r="4" spans="1:20" ht="15.75">
      <c r="A4" s="1678" t="s">
        <v>37</v>
      </c>
      <c r="B4" s="1679">
        <v>0</v>
      </c>
      <c r="C4" s="1679">
        <v>0</v>
      </c>
      <c r="D4" s="1679">
        <v>0</v>
      </c>
      <c r="E4" s="1679">
        <v>0</v>
      </c>
      <c r="F4" s="1679">
        <v>0</v>
      </c>
      <c r="G4" s="1680">
        <v>505544793045</v>
      </c>
      <c r="H4" s="1679">
        <v>0</v>
      </c>
      <c r="I4" s="1680">
        <v>2601930606</v>
      </c>
      <c r="J4" s="1679">
        <v>0</v>
      </c>
      <c r="K4" s="1680">
        <v>157229556899</v>
      </c>
      <c r="L4" s="1679">
        <v>0</v>
      </c>
      <c r="M4" s="1680">
        <v>1732269288</v>
      </c>
      <c r="N4" s="1680">
        <v>0</v>
      </c>
      <c r="O4" s="1679">
        <v>0</v>
      </c>
      <c r="P4" s="1679"/>
      <c r="Q4" s="1680"/>
      <c r="R4" s="1680">
        <v>0</v>
      </c>
      <c r="S4" s="1680">
        <v>101164136766</v>
      </c>
      <c r="T4" s="1679">
        <f t="shared" ref="T4:T15" si="0">SUM(B4:S4)</f>
        <v>768272686604</v>
      </c>
    </row>
    <row r="5" spans="1:20" ht="15.75">
      <c r="A5" s="1678" t="s">
        <v>38</v>
      </c>
      <c r="B5" s="1679">
        <v>0</v>
      </c>
      <c r="C5" s="1679">
        <v>0</v>
      </c>
      <c r="D5" s="1679">
        <v>0</v>
      </c>
      <c r="E5" s="1679">
        <v>0</v>
      </c>
      <c r="F5" s="1679">
        <v>0</v>
      </c>
      <c r="G5" s="1680">
        <v>479045338878</v>
      </c>
      <c r="H5" s="1679">
        <v>0</v>
      </c>
      <c r="I5" s="1680">
        <v>758455030</v>
      </c>
      <c r="J5" s="1679">
        <v>0</v>
      </c>
      <c r="K5" s="1680">
        <v>98461359239</v>
      </c>
      <c r="L5" s="1679">
        <v>0</v>
      </c>
      <c r="M5" s="1679">
        <v>0</v>
      </c>
      <c r="N5" s="1680">
        <v>0</v>
      </c>
      <c r="O5" s="1679">
        <v>0</v>
      </c>
      <c r="P5" s="1679"/>
      <c r="Q5" s="1679">
        <v>0</v>
      </c>
      <c r="R5" s="1680">
        <v>0</v>
      </c>
      <c r="S5" s="1680">
        <v>135254849268</v>
      </c>
      <c r="T5" s="1679">
        <f t="shared" si="0"/>
        <v>713520002415</v>
      </c>
    </row>
    <row r="6" spans="1:20" ht="15.75">
      <c r="A6" s="1678" t="s">
        <v>39</v>
      </c>
      <c r="B6" s="1679">
        <v>0</v>
      </c>
      <c r="C6" s="1679">
        <v>0</v>
      </c>
      <c r="D6" s="1679">
        <v>0</v>
      </c>
      <c r="E6" s="1679">
        <v>0</v>
      </c>
      <c r="F6" s="1679">
        <v>0</v>
      </c>
      <c r="G6" s="1680">
        <v>549961333022</v>
      </c>
      <c r="H6" s="1679">
        <v>0</v>
      </c>
      <c r="I6" s="1680">
        <v>19720001986</v>
      </c>
      <c r="J6" s="1679">
        <v>0</v>
      </c>
      <c r="K6" s="1680">
        <v>74901159362</v>
      </c>
      <c r="L6" s="1679">
        <v>0</v>
      </c>
      <c r="M6" s="1679">
        <v>0</v>
      </c>
      <c r="N6" s="1679">
        <v>0</v>
      </c>
      <c r="O6" s="1679">
        <v>0</v>
      </c>
      <c r="P6" s="1679"/>
      <c r="Q6" s="1680"/>
      <c r="R6" s="1679">
        <v>0</v>
      </c>
      <c r="S6" s="1680">
        <v>144928121718</v>
      </c>
      <c r="T6" s="1679">
        <f t="shared" si="0"/>
        <v>789510616088</v>
      </c>
    </row>
    <row r="7" spans="1:20" ht="15.75">
      <c r="A7" s="1678" t="s">
        <v>40</v>
      </c>
      <c r="B7" s="1679">
        <v>0</v>
      </c>
      <c r="C7" s="1679">
        <v>0</v>
      </c>
      <c r="D7" s="1679">
        <v>0</v>
      </c>
      <c r="E7" s="1679">
        <v>0</v>
      </c>
      <c r="F7" s="1679">
        <v>0</v>
      </c>
      <c r="G7" s="1680">
        <v>378386203583</v>
      </c>
      <c r="H7" s="1679">
        <v>0</v>
      </c>
      <c r="I7" s="1680">
        <v>3014552404</v>
      </c>
      <c r="J7" s="1679">
        <v>0</v>
      </c>
      <c r="K7" s="1680">
        <v>57681042388</v>
      </c>
      <c r="L7" s="1679">
        <v>0</v>
      </c>
      <c r="M7" s="1680">
        <v>1324825024</v>
      </c>
      <c r="N7" s="1679">
        <v>0</v>
      </c>
      <c r="O7" s="1679">
        <v>0</v>
      </c>
      <c r="P7" s="1679"/>
      <c r="Q7" s="1680"/>
      <c r="R7" s="1679"/>
      <c r="S7" s="1680">
        <v>83945352465</v>
      </c>
      <c r="T7" s="1679">
        <f t="shared" si="0"/>
        <v>524351975864</v>
      </c>
    </row>
    <row r="8" spans="1:20" ht="15.75">
      <c r="A8" s="1678" t="s">
        <v>41</v>
      </c>
      <c r="B8" s="1679">
        <v>0</v>
      </c>
      <c r="C8" s="1679">
        <v>0</v>
      </c>
      <c r="D8" s="1679">
        <v>0</v>
      </c>
      <c r="E8" s="1679">
        <v>0</v>
      </c>
      <c r="F8" s="1679">
        <v>0</v>
      </c>
      <c r="G8" s="1680">
        <v>272178104815</v>
      </c>
      <c r="H8" s="1679">
        <v>0</v>
      </c>
      <c r="I8" s="1680">
        <v>7518303744</v>
      </c>
      <c r="J8" s="1679">
        <v>0</v>
      </c>
      <c r="K8" s="1680">
        <v>37575815349</v>
      </c>
      <c r="L8" s="1679">
        <v>0</v>
      </c>
      <c r="M8" s="1680">
        <v>317004676</v>
      </c>
      <c r="N8" s="1679">
        <v>0</v>
      </c>
      <c r="O8" s="1679">
        <v>0</v>
      </c>
      <c r="P8" s="1679"/>
      <c r="Q8" s="1679">
        <v>0</v>
      </c>
      <c r="R8" s="1679">
        <v>0</v>
      </c>
      <c r="S8" s="1680">
        <v>141058041746</v>
      </c>
      <c r="T8" s="1679">
        <f t="shared" si="0"/>
        <v>458647270330</v>
      </c>
    </row>
    <row r="9" spans="1:20" ht="15.75">
      <c r="A9" s="1678" t="s">
        <v>42</v>
      </c>
      <c r="B9" s="1679">
        <v>0</v>
      </c>
      <c r="C9" s="1679">
        <v>0</v>
      </c>
      <c r="D9" s="1679">
        <v>0</v>
      </c>
      <c r="E9" s="1679">
        <v>0</v>
      </c>
      <c r="F9" s="1679">
        <v>0</v>
      </c>
      <c r="G9" s="1680">
        <v>752728402754</v>
      </c>
      <c r="H9" s="1679">
        <v>0</v>
      </c>
      <c r="I9" s="1680">
        <v>10204538525</v>
      </c>
      <c r="J9" s="1679">
        <v>0</v>
      </c>
      <c r="K9" s="1680">
        <v>39692292039</v>
      </c>
      <c r="L9" s="1679">
        <v>0</v>
      </c>
      <c r="M9" s="1679">
        <v>0</v>
      </c>
      <c r="N9" s="1679"/>
      <c r="O9" s="1679">
        <v>0</v>
      </c>
      <c r="P9" s="1679"/>
      <c r="Q9" s="1680"/>
      <c r="R9" s="1679">
        <v>0</v>
      </c>
      <c r="S9" s="1680">
        <v>112838469554</v>
      </c>
      <c r="T9" s="1679">
        <f t="shared" si="0"/>
        <v>915463702872</v>
      </c>
    </row>
    <row r="10" spans="1:20" ht="15.75">
      <c r="A10" s="1678" t="s">
        <v>43</v>
      </c>
      <c r="B10" s="1679">
        <v>0</v>
      </c>
      <c r="C10" s="1679">
        <v>0</v>
      </c>
      <c r="D10" s="1679">
        <v>0</v>
      </c>
      <c r="E10" s="1679">
        <v>0</v>
      </c>
      <c r="F10" s="1679">
        <v>0</v>
      </c>
      <c r="G10" s="1680">
        <v>783638176633</v>
      </c>
      <c r="H10" s="1679">
        <v>0</v>
      </c>
      <c r="I10" s="1680">
        <v>903909907</v>
      </c>
      <c r="J10" s="1679">
        <v>0</v>
      </c>
      <c r="K10" s="1680">
        <v>95281711526</v>
      </c>
      <c r="L10" s="1679">
        <v>0</v>
      </c>
      <c r="M10" s="1679">
        <v>0</v>
      </c>
      <c r="N10" s="1679">
        <v>0</v>
      </c>
      <c r="O10" s="1679"/>
      <c r="P10" s="1679"/>
      <c r="Q10" s="1679">
        <v>0</v>
      </c>
      <c r="R10" s="1679">
        <v>0</v>
      </c>
      <c r="S10" s="1680">
        <v>75124351836</v>
      </c>
      <c r="T10" s="1679">
        <f t="shared" si="0"/>
        <v>954948149902</v>
      </c>
    </row>
    <row r="11" spans="1:20" ht="15.75">
      <c r="A11" s="1678" t="s">
        <v>405</v>
      </c>
      <c r="B11" s="1679">
        <v>0</v>
      </c>
      <c r="C11" s="1679">
        <v>0</v>
      </c>
      <c r="D11" s="1679">
        <v>0</v>
      </c>
      <c r="E11" s="1679">
        <v>0</v>
      </c>
      <c r="F11" s="1679">
        <v>0</v>
      </c>
      <c r="G11" s="1680">
        <v>755739092098</v>
      </c>
      <c r="H11" s="1679">
        <v>0</v>
      </c>
      <c r="I11" s="1680">
        <v>1900524056</v>
      </c>
      <c r="J11" s="1679">
        <v>0</v>
      </c>
      <c r="K11" s="1680">
        <v>110553285817</v>
      </c>
      <c r="L11" s="1679">
        <v>0</v>
      </c>
      <c r="M11" s="1680">
        <v>496953360</v>
      </c>
      <c r="N11" s="1679">
        <v>0</v>
      </c>
      <c r="O11" s="1679"/>
      <c r="P11" s="1679"/>
      <c r="Q11" s="1679">
        <v>0</v>
      </c>
      <c r="R11" s="1679"/>
      <c r="S11" s="1680">
        <v>80838354888</v>
      </c>
      <c r="T11" s="1679">
        <f t="shared" si="0"/>
        <v>949528210219</v>
      </c>
    </row>
    <row r="12" spans="1:20" ht="15.75">
      <c r="A12" s="1678" t="s">
        <v>45</v>
      </c>
      <c r="B12" s="1679">
        <v>0</v>
      </c>
      <c r="C12" s="1679">
        <v>0</v>
      </c>
      <c r="D12" s="1679">
        <v>0</v>
      </c>
      <c r="E12" s="1679">
        <v>0</v>
      </c>
      <c r="F12" s="1679">
        <v>0</v>
      </c>
      <c r="G12" s="1680">
        <v>1036268424083</v>
      </c>
      <c r="H12" s="1679">
        <v>0</v>
      </c>
      <c r="I12" s="1680">
        <v>2001474960</v>
      </c>
      <c r="J12" s="1679">
        <v>0</v>
      </c>
      <c r="K12" s="1680">
        <v>71472770903</v>
      </c>
      <c r="L12" s="1679">
        <v>0</v>
      </c>
      <c r="M12" s="1680">
        <v>0</v>
      </c>
      <c r="N12" s="1679">
        <v>0</v>
      </c>
      <c r="O12" s="1679"/>
      <c r="P12" s="1679"/>
      <c r="Q12" s="1679">
        <v>0</v>
      </c>
      <c r="R12" s="1679">
        <v>0</v>
      </c>
      <c r="S12" s="1680">
        <v>57337703583</v>
      </c>
      <c r="T12" s="1679">
        <f t="shared" si="0"/>
        <v>1167080373529</v>
      </c>
    </row>
    <row r="13" spans="1:20" ht="15.75">
      <c r="A13" s="1678" t="s">
        <v>406</v>
      </c>
      <c r="B13" s="1679">
        <v>0</v>
      </c>
      <c r="C13" s="1679">
        <v>0</v>
      </c>
      <c r="D13" s="1679">
        <v>0</v>
      </c>
      <c r="E13" s="1679">
        <v>0</v>
      </c>
      <c r="F13" s="1679">
        <v>0</v>
      </c>
      <c r="G13" s="1680">
        <v>942911714717</v>
      </c>
      <c r="H13" s="1679">
        <v>0</v>
      </c>
      <c r="I13" s="1680">
        <v>1474315920</v>
      </c>
      <c r="J13" s="1679">
        <v>0</v>
      </c>
      <c r="K13" s="1680">
        <v>78957102622</v>
      </c>
      <c r="L13" s="1679">
        <v>0</v>
      </c>
      <c r="M13" s="1680">
        <v>382761216</v>
      </c>
      <c r="N13" s="1679">
        <v>0</v>
      </c>
      <c r="O13" s="1679"/>
      <c r="P13" s="1679"/>
      <c r="Q13" s="1680"/>
      <c r="R13" s="1679"/>
      <c r="S13" s="1680">
        <v>79083723513</v>
      </c>
      <c r="T13" s="1679">
        <f t="shared" si="0"/>
        <v>1102809617988</v>
      </c>
    </row>
    <row r="14" spans="1:20" ht="15.75">
      <c r="A14" s="1678" t="s">
        <v>47</v>
      </c>
      <c r="B14" s="1679">
        <v>0</v>
      </c>
      <c r="C14" s="1679">
        <v>0</v>
      </c>
      <c r="D14" s="1679">
        <v>0</v>
      </c>
      <c r="E14" s="1679">
        <v>0</v>
      </c>
      <c r="F14" s="1679">
        <v>0</v>
      </c>
      <c r="G14" s="1680">
        <v>1077817501845</v>
      </c>
      <c r="H14" s="1679">
        <v>0</v>
      </c>
      <c r="I14" s="1680">
        <v>5672057059</v>
      </c>
      <c r="J14" s="1680">
        <v>0</v>
      </c>
      <c r="K14" s="1680">
        <v>107838535583</v>
      </c>
      <c r="L14" s="1679">
        <v>0</v>
      </c>
      <c r="M14" s="1680">
        <v>0</v>
      </c>
      <c r="N14" s="1680">
        <v>0</v>
      </c>
      <c r="O14" s="1679">
        <v>0</v>
      </c>
      <c r="P14" s="1679"/>
      <c r="Q14" s="1680">
        <v>101052402</v>
      </c>
      <c r="R14" s="1679">
        <v>0</v>
      </c>
      <c r="S14" s="1680">
        <v>78800707947</v>
      </c>
      <c r="T14" s="1679">
        <f t="shared" si="0"/>
        <v>1270229854836</v>
      </c>
    </row>
    <row r="15" spans="1:20" ht="15.75">
      <c r="A15" s="1678" t="s">
        <v>48</v>
      </c>
      <c r="B15" s="1679">
        <v>0</v>
      </c>
      <c r="C15" s="1679">
        <v>0</v>
      </c>
      <c r="D15" s="1679">
        <v>0</v>
      </c>
      <c r="E15" s="1679">
        <v>0</v>
      </c>
      <c r="F15" s="1679">
        <v>0</v>
      </c>
      <c r="G15" s="1680">
        <v>847527902628</v>
      </c>
      <c r="H15" s="1679">
        <v>0</v>
      </c>
      <c r="I15" s="1680">
        <v>8992979097</v>
      </c>
      <c r="J15" s="1679">
        <v>0</v>
      </c>
      <c r="K15" s="1680">
        <v>74610233602</v>
      </c>
      <c r="L15" s="1679">
        <v>0</v>
      </c>
      <c r="M15" s="1680">
        <v>0</v>
      </c>
      <c r="N15" s="1680">
        <v>0</v>
      </c>
      <c r="O15" s="1679">
        <v>0</v>
      </c>
      <c r="P15" s="1679"/>
      <c r="Q15" s="1679">
        <v>0</v>
      </c>
      <c r="R15" s="1679">
        <v>0</v>
      </c>
      <c r="S15" s="1680">
        <v>39918175825</v>
      </c>
      <c r="T15" s="1679">
        <f t="shared" si="0"/>
        <v>971049291152</v>
      </c>
    </row>
    <row r="16" spans="1:20" ht="15.75">
      <c r="A16" s="1677" t="s">
        <v>49</v>
      </c>
      <c r="B16" s="1681">
        <f t="shared" ref="B16:S16" si="1">SUM(B4:B15)</f>
        <v>0</v>
      </c>
      <c r="C16" s="1681">
        <f t="shared" si="1"/>
        <v>0</v>
      </c>
      <c r="D16" s="1681">
        <f t="shared" si="1"/>
        <v>0</v>
      </c>
      <c r="E16" s="1681">
        <f t="shared" si="1"/>
        <v>0</v>
      </c>
      <c r="F16" s="1681">
        <f t="shared" si="1"/>
        <v>0</v>
      </c>
      <c r="G16" s="1681">
        <f>SUM(G4:G15)</f>
        <v>8381746988101</v>
      </c>
      <c r="H16" s="1681">
        <f t="shared" si="1"/>
        <v>0</v>
      </c>
      <c r="I16" s="1681">
        <f t="shared" si="1"/>
        <v>64763043294</v>
      </c>
      <c r="J16" s="1681">
        <f t="shared" si="1"/>
        <v>0</v>
      </c>
      <c r="K16" s="1681">
        <f t="shared" si="1"/>
        <v>1004254865329</v>
      </c>
      <c r="L16" s="1681">
        <f t="shared" si="1"/>
        <v>0</v>
      </c>
      <c r="M16" s="1681">
        <f>SUM(M4:M15)</f>
        <v>4253813564</v>
      </c>
      <c r="N16" s="1681">
        <f>SUM(N4:N15)</f>
        <v>0</v>
      </c>
      <c r="O16" s="1681">
        <f t="shared" si="1"/>
        <v>0</v>
      </c>
      <c r="P16" s="1681">
        <f t="shared" si="1"/>
        <v>0</v>
      </c>
      <c r="Q16" s="1681">
        <f>SUM(Q4:Q15)</f>
        <v>101052402</v>
      </c>
      <c r="R16" s="1681">
        <f t="shared" si="1"/>
        <v>0</v>
      </c>
      <c r="S16" s="1681">
        <f t="shared" si="1"/>
        <v>1130291989109</v>
      </c>
      <c r="T16" s="1681">
        <f>SUM(T4:T15)</f>
        <v>10585411751799</v>
      </c>
    </row>
    <row r="17" spans="1:20" ht="15.75">
      <c r="A17" s="3538" t="s">
        <v>1869</v>
      </c>
      <c r="B17" s="3538"/>
      <c r="C17" s="3538"/>
      <c r="D17" s="3538"/>
      <c r="E17" s="3538"/>
      <c r="F17" s="3538"/>
      <c r="G17" s="3538"/>
      <c r="H17" s="3538"/>
      <c r="I17" s="3538"/>
      <c r="J17" s="3538"/>
      <c r="K17" s="3538"/>
      <c r="L17" s="312"/>
      <c r="M17" s="312"/>
      <c r="N17" s="312"/>
      <c r="O17" s="312"/>
      <c r="P17" s="312"/>
      <c r="Q17" s="312"/>
      <c r="R17" s="312"/>
      <c r="S17" s="312"/>
      <c r="T17" s="313"/>
    </row>
  </sheetData>
  <mergeCells count="3">
    <mergeCell ref="A1:T1"/>
    <mergeCell ref="A2:T2"/>
    <mergeCell ref="A17:K17"/>
  </mergeCells>
  <pageMargins left="0.25" right="0.25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0000"/>
    <pageSetUpPr fitToPage="1"/>
  </sheetPr>
  <dimension ref="A1:W17"/>
  <sheetViews>
    <sheetView rightToLeft="1" workbookViewId="0">
      <selection activeCell="W1" sqref="A1:W17"/>
    </sheetView>
  </sheetViews>
  <sheetFormatPr defaultColWidth="9.25" defaultRowHeight="14.25"/>
  <cols>
    <col min="1" max="1" width="7.875" style="1643" bestFit="1" customWidth="1"/>
    <col min="2" max="3" width="4.875" style="1643" bestFit="1" customWidth="1"/>
    <col min="4" max="4" width="5.375" style="1643" bestFit="1" customWidth="1"/>
    <col min="5" max="5" width="6.375" style="1643" bestFit="1" customWidth="1"/>
    <col min="6" max="6" width="4.875" style="1643" bestFit="1" customWidth="1"/>
    <col min="7" max="8" width="6.375" style="1643" bestFit="1" customWidth="1"/>
    <col min="9" max="9" width="7.375" style="1643" bestFit="1" customWidth="1"/>
    <col min="10" max="10" width="8.875" style="1643" bestFit="1" customWidth="1"/>
    <col min="11" max="11" width="7.375" style="1643" bestFit="1" customWidth="1"/>
    <col min="12" max="12" width="8.875" style="1643" bestFit="1" customWidth="1"/>
    <col min="13" max="15" width="6.375" style="1643" bestFit="1" customWidth="1"/>
    <col min="16" max="17" width="7.375" style="1643" bestFit="1" customWidth="1"/>
    <col min="18" max="18" width="6.375" style="1643" bestFit="1" customWidth="1"/>
    <col min="19" max="19" width="4.875" style="1643" bestFit="1" customWidth="1"/>
    <col min="20" max="21" width="6.375" style="1643" bestFit="1" customWidth="1"/>
    <col min="22" max="22" width="4.875" style="1643" bestFit="1" customWidth="1"/>
    <col min="23" max="23" width="8.875" style="1643" bestFit="1" customWidth="1"/>
    <col min="24" max="16384" width="9.25" style="1643"/>
  </cols>
  <sheetData>
    <row r="1" spans="1:23" ht="24">
      <c r="A1" s="3539" t="s">
        <v>1873</v>
      </c>
      <c r="B1" s="3540"/>
      <c r="C1" s="3540"/>
      <c r="D1" s="3540"/>
      <c r="E1" s="3540"/>
      <c r="F1" s="3540"/>
      <c r="G1" s="3540"/>
      <c r="H1" s="3540"/>
      <c r="I1" s="3540"/>
      <c r="J1" s="3540"/>
      <c r="K1" s="3540"/>
      <c r="L1" s="3540"/>
      <c r="M1" s="3540"/>
      <c r="N1" s="3540"/>
      <c r="O1" s="3540"/>
      <c r="P1" s="3540"/>
      <c r="Q1" s="3540"/>
      <c r="R1" s="3540"/>
      <c r="S1" s="3540"/>
      <c r="T1" s="3540"/>
      <c r="U1" s="3540"/>
      <c r="V1" s="3540"/>
      <c r="W1" s="1689"/>
    </row>
    <row r="2" spans="1:23" ht="51" thickBot="1">
      <c r="A2" s="1690" t="s">
        <v>1</v>
      </c>
      <c r="B2" s="1691" t="s">
        <v>68</v>
      </c>
      <c r="C2" s="1691" t="s">
        <v>69</v>
      </c>
      <c r="D2" s="1691" t="s">
        <v>70</v>
      </c>
      <c r="E2" s="1691" t="s">
        <v>71</v>
      </c>
      <c r="F2" s="1691" t="s">
        <v>72</v>
      </c>
      <c r="G2" s="1691" t="s">
        <v>73</v>
      </c>
      <c r="H2" s="1691" t="s">
        <v>483</v>
      </c>
      <c r="I2" s="1691" t="s">
        <v>75</v>
      </c>
      <c r="J2" s="1691" t="s">
        <v>76</v>
      </c>
      <c r="K2" s="1691" t="s">
        <v>77</v>
      </c>
      <c r="L2" s="1691" t="s">
        <v>758</v>
      </c>
      <c r="M2" s="1691" t="s">
        <v>79</v>
      </c>
      <c r="N2" s="1691" t="s">
        <v>82</v>
      </c>
      <c r="O2" s="1691" t="s">
        <v>83</v>
      </c>
      <c r="P2" s="1691" t="s">
        <v>403</v>
      </c>
      <c r="Q2" s="1691" t="s">
        <v>84</v>
      </c>
      <c r="R2" s="1691" t="s">
        <v>80</v>
      </c>
      <c r="S2" s="1691" t="s">
        <v>86</v>
      </c>
      <c r="T2" s="1691" t="s">
        <v>85</v>
      </c>
      <c r="U2" s="1691" t="s">
        <v>87</v>
      </c>
      <c r="V2" s="1691" t="s">
        <v>88</v>
      </c>
      <c r="W2" s="1692" t="s">
        <v>281</v>
      </c>
    </row>
    <row r="3" spans="1:23" ht="18">
      <c r="A3" s="261" t="s">
        <v>37</v>
      </c>
      <c r="B3" s="1693">
        <v>0</v>
      </c>
      <c r="C3" s="1694">
        <v>0</v>
      </c>
      <c r="D3" s="1695">
        <v>0</v>
      </c>
      <c r="E3" s="1696">
        <v>4011618282</v>
      </c>
      <c r="F3" s="1695">
        <v>0</v>
      </c>
      <c r="G3" s="1696">
        <v>606910977</v>
      </c>
      <c r="H3" s="1696">
        <v>492494092</v>
      </c>
      <c r="I3" s="1696">
        <v>72182958829</v>
      </c>
      <c r="J3" s="1696">
        <v>173896919928</v>
      </c>
      <c r="K3" s="1695">
        <v>0</v>
      </c>
      <c r="L3" s="1696">
        <v>63710764987</v>
      </c>
      <c r="M3" s="1696">
        <v>1164116742</v>
      </c>
      <c r="N3" s="1696">
        <v>8867122460</v>
      </c>
      <c r="O3" s="1696">
        <v>20898436594</v>
      </c>
      <c r="P3" s="1696">
        <v>16492096953</v>
      </c>
      <c r="Q3" s="1696">
        <v>45277326844</v>
      </c>
      <c r="R3" s="1696">
        <v>19337060916</v>
      </c>
      <c r="S3" s="1695">
        <v>0</v>
      </c>
      <c r="T3" s="1695">
        <v>0</v>
      </c>
      <c r="U3" s="1696">
        <v>2925467934</v>
      </c>
      <c r="V3" s="1695">
        <v>0</v>
      </c>
      <c r="W3" s="1697">
        <f>SUM(B3:V3)</f>
        <v>429863295538</v>
      </c>
    </row>
    <row r="4" spans="1:23" ht="18">
      <c r="A4" s="261" t="s">
        <v>38</v>
      </c>
      <c r="B4" s="1698">
        <v>0</v>
      </c>
      <c r="C4" s="1699">
        <v>0</v>
      </c>
      <c r="D4" s="1700">
        <v>0</v>
      </c>
      <c r="E4" s="1701">
        <v>3489105887</v>
      </c>
      <c r="F4" s="1700">
        <v>0</v>
      </c>
      <c r="G4" s="1701">
        <v>5040096559</v>
      </c>
      <c r="H4" s="1701">
        <v>3978133573</v>
      </c>
      <c r="I4" s="1701">
        <v>95181345169</v>
      </c>
      <c r="J4" s="1701">
        <v>184128231004</v>
      </c>
      <c r="K4" s="1700">
        <v>0</v>
      </c>
      <c r="L4" s="1701">
        <v>18926592958</v>
      </c>
      <c r="M4" s="1701">
        <v>268642614</v>
      </c>
      <c r="N4" s="1701">
        <v>2327788140</v>
      </c>
      <c r="O4" s="1701">
        <v>5416544128</v>
      </c>
      <c r="P4" s="1701">
        <v>22936978153</v>
      </c>
      <c r="Q4" s="1701">
        <v>38613126352</v>
      </c>
      <c r="R4" s="1701">
        <v>13434121888</v>
      </c>
      <c r="S4" s="1700">
        <v>0</v>
      </c>
      <c r="T4" s="1700">
        <v>0</v>
      </c>
      <c r="U4" s="1701">
        <v>8346739032</v>
      </c>
      <c r="V4" s="1700">
        <v>0</v>
      </c>
      <c r="W4" s="1702">
        <f t="shared" ref="W4:W15" si="0">SUM(B4:V4)</f>
        <v>402087445457</v>
      </c>
    </row>
    <row r="5" spans="1:23" ht="18">
      <c r="A5" s="261" t="s">
        <v>39</v>
      </c>
      <c r="B5" s="1698">
        <v>0</v>
      </c>
      <c r="C5" s="1699">
        <v>0</v>
      </c>
      <c r="D5" s="1701">
        <v>1253739426</v>
      </c>
      <c r="E5" s="1701">
        <v>3183029398</v>
      </c>
      <c r="F5" s="1700">
        <v>0</v>
      </c>
      <c r="G5" s="1701">
        <v>2591594637</v>
      </c>
      <c r="H5" s="1701">
        <v>9482999918</v>
      </c>
      <c r="I5" s="1701">
        <v>86747099946</v>
      </c>
      <c r="J5" s="1701">
        <v>209142768610</v>
      </c>
      <c r="K5" s="1700">
        <v>0</v>
      </c>
      <c r="L5" s="1701">
        <v>12158725583</v>
      </c>
      <c r="M5" s="1701">
        <v>419021222</v>
      </c>
      <c r="N5" s="1701">
        <v>6281255012</v>
      </c>
      <c r="O5" s="1701">
        <v>17893441978</v>
      </c>
      <c r="P5" s="1701">
        <v>32566971422</v>
      </c>
      <c r="Q5" s="1701">
        <v>46785125831</v>
      </c>
      <c r="R5" s="1701">
        <v>975435264</v>
      </c>
      <c r="S5" s="1700">
        <v>0</v>
      </c>
      <c r="T5" s="1701">
        <v>618416176</v>
      </c>
      <c r="U5" s="1701">
        <v>6095844511</v>
      </c>
      <c r="V5" s="1700">
        <v>0</v>
      </c>
      <c r="W5" s="1702">
        <f t="shared" si="0"/>
        <v>436195468934</v>
      </c>
    </row>
    <row r="6" spans="1:23" ht="18">
      <c r="A6" s="261" t="s">
        <v>40</v>
      </c>
      <c r="B6" s="1698">
        <v>0</v>
      </c>
      <c r="C6" s="1699">
        <v>0</v>
      </c>
      <c r="D6" s="1701">
        <v>629952379</v>
      </c>
      <c r="E6" s="1701">
        <v>2218411435</v>
      </c>
      <c r="F6" s="1700">
        <v>0</v>
      </c>
      <c r="G6" s="1701">
        <v>5151687954</v>
      </c>
      <c r="H6" s="1700">
        <v>0</v>
      </c>
      <c r="I6" s="1701">
        <v>63509834184</v>
      </c>
      <c r="J6" s="1701">
        <v>199476131666</v>
      </c>
      <c r="K6" s="1700">
        <v>0</v>
      </c>
      <c r="L6" s="1701">
        <v>16033309183</v>
      </c>
      <c r="M6" s="1701">
        <v>726955255</v>
      </c>
      <c r="N6" s="1701">
        <v>3375281096</v>
      </c>
      <c r="O6" s="1701">
        <v>0</v>
      </c>
      <c r="P6" s="1701">
        <v>17763819561</v>
      </c>
      <c r="Q6" s="1701">
        <v>56512082692</v>
      </c>
      <c r="R6" s="1701">
        <v>2226969900</v>
      </c>
      <c r="S6" s="1700">
        <v>0</v>
      </c>
      <c r="T6" s="1700">
        <v>0</v>
      </c>
      <c r="U6" s="1700">
        <v>0</v>
      </c>
      <c r="V6" s="1700">
        <v>0</v>
      </c>
      <c r="W6" s="1702">
        <f t="shared" si="0"/>
        <v>367624435305</v>
      </c>
    </row>
    <row r="7" spans="1:23" ht="18">
      <c r="A7" s="261" t="s">
        <v>41</v>
      </c>
      <c r="B7" s="1698">
        <v>0</v>
      </c>
      <c r="C7" s="1699">
        <v>0</v>
      </c>
      <c r="D7" s="1700">
        <v>0</v>
      </c>
      <c r="E7" s="1701">
        <v>5878310047</v>
      </c>
      <c r="F7" s="1700">
        <v>0</v>
      </c>
      <c r="G7" s="1701">
        <v>1676663759</v>
      </c>
      <c r="H7" s="1701">
        <v>1899398799</v>
      </c>
      <c r="I7" s="1701">
        <v>66187966261</v>
      </c>
      <c r="J7" s="1701">
        <v>168256515879</v>
      </c>
      <c r="K7" s="1700">
        <v>0</v>
      </c>
      <c r="L7" s="1701">
        <v>93090117253</v>
      </c>
      <c r="M7" s="1701">
        <v>612499431</v>
      </c>
      <c r="N7" s="1701">
        <v>3225261204</v>
      </c>
      <c r="O7" s="1701">
        <v>16395723051</v>
      </c>
      <c r="P7" s="1701">
        <v>31080219644</v>
      </c>
      <c r="Q7" s="1701">
        <v>47054052323</v>
      </c>
      <c r="R7" s="1701">
        <v>4859300735</v>
      </c>
      <c r="S7" s="1700">
        <v>0</v>
      </c>
      <c r="T7" s="1700">
        <v>0</v>
      </c>
      <c r="U7" s="1701">
        <v>1818241227</v>
      </c>
      <c r="V7" s="1700">
        <v>0</v>
      </c>
      <c r="W7" s="1702">
        <f t="shared" si="0"/>
        <v>442034269613</v>
      </c>
    </row>
    <row r="8" spans="1:23" ht="18">
      <c r="A8" s="261" t="s">
        <v>42</v>
      </c>
      <c r="B8" s="1698">
        <v>0</v>
      </c>
      <c r="C8" s="1699">
        <v>0</v>
      </c>
      <c r="D8" s="1700">
        <v>0</v>
      </c>
      <c r="E8" s="1701">
        <v>2586291582</v>
      </c>
      <c r="F8" s="1700">
        <v>0</v>
      </c>
      <c r="G8" s="1701">
        <v>1278981969</v>
      </c>
      <c r="H8" s="1701">
        <v>791579372</v>
      </c>
      <c r="I8" s="1701">
        <v>73336078913</v>
      </c>
      <c r="J8" s="1701">
        <v>186317698365</v>
      </c>
      <c r="K8" s="1700">
        <v>0</v>
      </c>
      <c r="L8" s="1701">
        <v>146421847201</v>
      </c>
      <c r="M8" s="1701">
        <v>453584483</v>
      </c>
      <c r="N8" s="1701">
        <v>3964459676</v>
      </c>
      <c r="O8" s="1701">
        <v>16684973163</v>
      </c>
      <c r="P8" s="1701">
        <v>12065118498</v>
      </c>
      <c r="Q8" s="1701">
        <v>50146615669</v>
      </c>
      <c r="R8" s="1701">
        <v>4088339911</v>
      </c>
      <c r="S8" s="1700">
        <v>0</v>
      </c>
      <c r="T8" s="1700">
        <v>0</v>
      </c>
      <c r="U8" s="1701">
        <v>7377255067</v>
      </c>
      <c r="V8" s="1700">
        <v>0</v>
      </c>
      <c r="W8" s="1702">
        <f t="shared" si="0"/>
        <v>505512823869</v>
      </c>
    </row>
    <row r="9" spans="1:23" ht="18">
      <c r="A9" s="261" t="s">
        <v>43</v>
      </c>
      <c r="B9" s="1698">
        <v>0</v>
      </c>
      <c r="C9" s="1699">
        <v>0</v>
      </c>
      <c r="D9" s="1700">
        <v>0</v>
      </c>
      <c r="E9" s="1701">
        <v>933808461</v>
      </c>
      <c r="F9" s="1700">
        <v>0</v>
      </c>
      <c r="G9" s="1701">
        <v>2748461299</v>
      </c>
      <c r="H9" s="1701">
        <v>15452629664</v>
      </c>
      <c r="I9" s="1701">
        <v>66739040361</v>
      </c>
      <c r="J9" s="1701">
        <v>217437499601</v>
      </c>
      <c r="K9" s="1700">
        <v>0</v>
      </c>
      <c r="L9" s="1701">
        <v>110854814150</v>
      </c>
      <c r="M9" s="1701">
        <v>390747518</v>
      </c>
      <c r="N9" s="1701">
        <v>2709955036</v>
      </c>
      <c r="O9" s="1701">
        <v>0</v>
      </c>
      <c r="P9" s="1700">
        <v>0</v>
      </c>
      <c r="Q9" s="1701">
        <v>80445083490</v>
      </c>
      <c r="R9" s="1701">
        <v>3638615642</v>
      </c>
      <c r="S9" s="1700">
        <v>0</v>
      </c>
      <c r="T9" s="1700">
        <v>0</v>
      </c>
      <c r="U9" s="1701">
        <v>2400587240</v>
      </c>
      <c r="V9" s="1700">
        <v>0</v>
      </c>
      <c r="W9" s="1702">
        <f t="shared" si="0"/>
        <v>503751242462</v>
      </c>
    </row>
    <row r="10" spans="1:23" ht="18">
      <c r="A10" s="261" t="s">
        <v>405</v>
      </c>
      <c r="B10" s="1698">
        <v>0</v>
      </c>
      <c r="C10" s="1699">
        <v>0</v>
      </c>
      <c r="D10" s="1700">
        <v>0</v>
      </c>
      <c r="E10" s="1701">
        <v>9165863542</v>
      </c>
      <c r="F10" s="1700">
        <v>0</v>
      </c>
      <c r="G10" s="1700">
        <v>2179449705</v>
      </c>
      <c r="H10" s="1701">
        <v>21205868131</v>
      </c>
      <c r="I10" s="1701">
        <v>85341738687</v>
      </c>
      <c r="J10" s="1701">
        <v>231707861568</v>
      </c>
      <c r="K10" s="1701">
        <v>1080047556</v>
      </c>
      <c r="L10" s="1701">
        <v>83065851274</v>
      </c>
      <c r="M10" s="1701">
        <v>757324712</v>
      </c>
      <c r="N10" s="1701">
        <v>2801849144</v>
      </c>
      <c r="O10" s="1701">
        <v>574313593</v>
      </c>
      <c r="P10" s="1700">
        <v>0</v>
      </c>
      <c r="Q10" s="1701">
        <v>38233453659</v>
      </c>
      <c r="R10" s="1701">
        <v>4433927148</v>
      </c>
      <c r="S10" s="1700">
        <v>0</v>
      </c>
      <c r="T10" s="1700">
        <v>0</v>
      </c>
      <c r="U10" s="1701">
        <v>1464539903</v>
      </c>
      <c r="V10" s="1700">
        <v>0</v>
      </c>
      <c r="W10" s="1702">
        <f t="shared" si="0"/>
        <v>482012088622</v>
      </c>
    </row>
    <row r="11" spans="1:23" ht="18">
      <c r="A11" s="261" t="s">
        <v>45</v>
      </c>
      <c r="B11" s="1698">
        <v>0</v>
      </c>
      <c r="C11" s="1699">
        <v>0</v>
      </c>
      <c r="D11" s="1700">
        <v>0</v>
      </c>
      <c r="E11" s="1701">
        <v>5590127544</v>
      </c>
      <c r="F11" s="1700">
        <v>0</v>
      </c>
      <c r="G11" s="1701">
        <v>3424643141</v>
      </c>
      <c r="H11" s="1701">
        <v>537436224</v>
      </c>
      <c r="I11" s="1701">
        <v>80760903116</v>
      </c>
      <c r="J11" s="1701">
        <v>251722048378</v>
      </c>
      <c r="K11" s="1701">
        <v>13870459300</v>
      </c>
      <c r="L11" s="1701">
        <v>151060275287</v>
      </c>
      <c r="M11" s="1701">
        <v>0</v>
      </c>
      <c r="N11" s="1701">
        <v>3033767436</v>
      </c>
      <c r="O11" s="1701">
        <v>0</v>
      </c>
      <c r="P11" s="1700">
        <v>0</v>
      </c>
      <c r="Q11" s="1701">
        <v>29294464583</v>
      </c>
      <c r="R11" s="1701">
        <v>6154804610</v>
      </c>
      <c r="S11" s="1700">
        <v>0</v>
      </c>
      <c r="T11" s="1700">
        <v>0</v>
      </c>
      <c r="U11" s="1701">
        <v>11030496011</v>
      </c>
      <c r="V11" s="1700">
        <v>0</v>
      </c>
      <c r="W11" s="1702">
        <f t="shared" si="0"/>
        <v>556479425630</v>
      </c>
    </row>
    <row r="12" spans="1:23" ht="18">
      <c r="A12" s="261" t="s">
        <v>406</v>
      </c>
      <c r="B12" s="1698">
        <v>0</v>
      </c>
      <c r="C12" s="1699">
        <v>0</v>
      </c>
      <c r="D12" s="1700">
        <v>0</v>
      </c>
      <c r="E12" s="1701">
        <v>139106902</v>
      </c>
      <c r="F12" s="1700">
        <v>0</v>
      </c>
      <c r="G12" s="1700">
        <v>8018068521</v>
      </c>
      <c r="H12" s="1700">
        <v>0</v>
      </c>
      <c r="I12" s="1701">
        <v>78972152867</v>
      </c>
      <c r="J12" s="1701">
        <v>287471049719</v>
      </c>
      <c r="K12" s="1701">
        <v>28489283432</v>
      </c>
      <c r="L12" s="1701">
        <v>174797838522</v>
      </c>
      <c r="M12" s="1701">
        <v>10830664319</v>
      </c>
      <c r="N12" s="1701">
        <v>3305434696</v>
      </c>
      <c r="O12" s="1701">
        <v>0</v>
      </c>
      <c r="P12" s="1700">
        <v>0</v>
      </c>
      <c r="Q12" s="1701">
        <v>11529309803</v>
      </c>
      <c r="R12" s="1701">
        <v>11738599673</v>
      </c>
      <c r="S12" s="1700">
        <v>0</v>
      </c>
      <c r="T12" s="1700">
        <v>0</v>
      </c>
      <c r="U12" s="1701">
        <v>3977978070</v>
      </c>
      <c r="V12" s="1700">
        <v>0</v>
      </c>
      <c r="W12" s="1702">
        <f t="shared" si="0"/>
        <v>619269486524</v>
      </c>
    </row>
    <row r="13" spans="1:23" ht="18">
      <c r="A13" s="261" t="s">
        <v>47</v>
      </c>
      <c r="B13" s="1698"/>
      <c r="C13" s="1699">
        <v>0</v>
      </c>
      <c r="D13" s="1700">
        <v>0</v>
      </c>
      <c r="E13" s="1701">
        <v>6110278819</v>
      </c>
      <c r="F13" s="1700">
        <v>0</v>
      </c>
      <c r="G13" s="1701">
        <v>1765451022</v>
      </c>
      <c r="H13" s="1701">
        <v>15447497856</v>
      </c>
      <c r="I13" s="1701">
        <v>79674404375</v>
      </c>
      <c r="J13" s="1701">
        <v>193798047977</v>
      </c>
      <c r="K13" s="1701">
        <v>38711900732</v>
      </c>
      <c r="L13" s="1701">
        <v>157887080777</v>
      </c>
      <c r="M13" s="1700">
        <v>0</v>
      </c>
      <c r="N13" s="1701">
        <v>6692414604</v>
      </c>
      <c r="O13" s="1701">
        <v>0</v>
      </c>
      <c r="P13" s="1701">
        <v>11088358480</v>
      </c>
      <c r="Q13" s="1701">
        <v>32077924052</v>
      </c>
      <c r="R13" s="1701">
        <v>2337199420</v>
      </c>
      <c r="S13" s="1700">
        <v>0</v>
      </c>
      <c r="T13" s="1701">
        <v>9936053261</v>
      </c>
      <c r="U13" s="1701">
        <v>10048760257</v>
      </c>
      <c r="V13" s="1700">
        <v>0</v>
      </c>
      <c r="W13" s="1702">
        <f t="shared" si="0"/>
        <v>565575371632</v>
      </c>
    </row>
    <row r="14" spans="1:23" ht="18">
      <c r="A14" s="261" t="s">
        <v>48</v>
      </c>
      <c r="B14" s="1698">
        <v>0</v>
      </c>
      <c r="C14" s="1699">
        <v>0</v>
      </c>
      <c r="D14" s="1701">
        <v>3330013625</v>
      </c>
      <c r="E14" s="1701">
        <v>27584406023</v>
      </c>
      <c r="F14" s="1700"/>
      <c r="G14" s="1701">
        <v>8242985694</v>
      </c>
      <c r="H14" s="1701">
        <v>15076223442</v>
      </c>
      <c r="I14" s="1701">
        <v>100843643729</v>
      </c>
      <c r="J14" s="1701">
        <v>316211563740</v>
      </c>
      <c r="K14" s="1700">
        <v>65661074249</v>
      </c>
      <c r="L14" s="1701">
        <v>156387907894</v>
      </c>
      <c r="M14" s="1701">
        <v>808788741</v>
      </c>
      <c r="N14" s="1701">
        <v>5585973752</v>
      </c>
      <c r="O14" s="1701">
        <v>3821006952</v>
      </c>
      <c r="P14" s="1701">
        <v>21178724000</v>
      </c>
      <c r="Q14" s="1701">
        <v>34267975608</v>
      </c>
      <c r="R14" s="1701">
        <v>16130649647</v>
      </c>
      <c r="S14" s="1700">
        <v>0</v>
      </c>
      <c r="T14" s="1700">
        <v>0</v>
      </c>
      <c r="U14" s="1701">
        <v>10744749643</v>
      </c>
      <c r="V14" s="1700">
        <v>0</v>
      </c>
      <c r="W14" s="1702">
        <f t="shared" si="0"/>
        <v>785875686739</v>
      </c>
    </row>
    <row r="15" spans="1:23" ht="18.75" thickBot="1">
      <c r="A15" s="1703" t="s">
        <v>49</v>
      </c>
      <c r="B15" s="1704">
        <f>SUM(B3:B14)</f>
        <v>0</v>
      </c>
      <c r="C15" s="1705">
        <f>SUM(C3:C14)</f>
        <v>0</v>
      </c>
      <c r="D15" s="1706">
        <f>SUM(D3:D14)</f>
        <v>5213705430</v>
      </c>
      <c r="E15" s="1706">
        <f>SUM(E3:E14)</f>
        <v>70890357922</v>
      </c>
      <c r="F15" s="1706">
        <v>0</v>
      </c>
      <c r="G15" s="1706">
        <f>SUM(G3:G14)</f>
        <v>42724995237</v>
      </c>
      <c r="H15" s="1706">
        <f>SUM(H3:H14)</f>
        <v>84364261071</v>
      </c>
      <c r="I15" s="1706">
        <f>SUM(I3:I14)</f>
        <v>949477166437</v>
      </c>
      <c r="J15" s="1707">
        <f>SUM(J3:J14)</f>
        <v>2619566336435</v>
      </c>
      <c r="K15" s="1706">
        <f>SUM(K3:K14)</f>
        <v>147812765269</v>
      </c>
      <c r="L15" s="1707">
        <v>1184395125069</v>
      </c>
      <c r="M15" s="1706">
        <f t="shared" ref="M15" si="1">SUM(M3:M14)</f>
        <v>16432345037</v>
      </c>
      <c r="N15" s="1707">
        <f>SUM(N3:N14)</f>
        <v>52170562256</v>
      </c>
      <c r="O15" s="1707">
        <f>SUM(O3:O14)</f>
        <v>81684439459</v>
      </c>
      <c r="P15" s="1706">
        <f t="shared" ref="P15" si="2">SUM(P3:P14)</f>
        <v>165172286711</v>
      </c>
      <c r="Q15" s="1706">
        <f>SUM(Q3:Q14)</f>
        <v>510236540906</v>
      </c>
      <c r="R15" s="1706">
        <f>SUM(R3:R14)</f>
        <v>89355024754</v>
      </c>
      <c r="S15" s="1706">
        <f>SUM(S3:S14)</f>
        <v>0</v>
      </c>
      <c r="T15" s="1706">
        <f>SUM(T3:T14)</f>
        <v>10554469437</v>
      </c>
      <c r="U15" s="1706">
        <f>SUM(U3:U14)</f>
        <v>66230658895</v>
      </c>
      <c r="V15" s="1706">
        <v>0</v>
      </c>
      <c r="W15" s="1708">
        <f t="shared" si="0"/>
        <v>6096281040325</v>
      </c>
    </row>
    <row r="17" spans="1:5" ht="16.5">
      <c r="A17" s="2970" t="s">
        <v>1872</v>
      </c>
      <c r="B17" s="2970"/>
      <c r="C17" s="2970"/>
      <c r="D17" s="2970"/>
      <c r="E17" s="2970"/>
    </row>
  </sheetData>
  <mergeCells count="2">
    <mergeCell ref="A1:V1"/>
    <mergeCell ref="A17:E17"/>
  </mergeCells>
  <pageMargins left="0.25" right="0.25" top="0.75" bottom="0.75" header="0.3" footer="0.3"/>
  <pageSetup paperSize="9" scale="86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0000"/>
    <pageSetUpPr fitToPage="1"/>
  </sheetPr>
  <dimension ref="A1:M17"/>
  <sheetViews>
    <sheetView rightToLeft="1" workbookViewId="0">
      <selection sqref="A1:E17"/>
    </sheetView>
  </sheetViews>
  <sheetFormatPr defaultColWidth="9.125" defaultRowHeight="14.25"/>
  <cols>
    <col min="1" max="1" width="13.125" style="1643" customWidth="1"/>
    <col min="2" max="2" width="16.375" style="1643" bestFit="1" customWidth="1"/>
    <col min="3" max="4" width="13.75" style="1643" bestFit="1" customWidth="1"/>
    <col min="5" max="5" width="14.25" style="1643" bestFit="1" customWidth="1"/>
    <col min="6" max="16384" width="9.125" style="1643"/>
  </cols>
  <sheetData>
    <row r="1" spans="1:5" ht="21">
      <c r="A1" s="3535" t="s">
        <v>1870</v>
      </c>
      <c r="B1" s="3535"/>
      <c r="C1" s="3535"/>
      <c r="D1" s="3535"/>
      <c r="E1" s="3535"/>
    </row>
    <row r="2" spans="1:5" ht="15.75">
      <c r="A2" s="3537" t="s">
        <v>1811</v>
      </c>
      <c r="B2" s="3537"/>
      <c r="C2" s="3537"/>
      <c r="D2" s="3537"/>
      <c r="E2" s="3537"/>
    </row>
    <row r="3" spans="1:5" ht="19.5">
      <c r="A3" s="3541" t="s">
        <v>1</v>
      </c>
      <c r="B3" s="3541" t="s">
        <v>283</v>
      </c>
      <c r="C3" s="3541"/>
      <c r="D3" s="3541" t="s">
        <v>318</v>
      </c>
      <c r="E3" s="3541" t="s">
        <v>284</v>
      </c>
    </row>
    <row r="4" spans="1:5" ht="19.5">
      <c r="A4" s="3541"/>
      <c r="B4" s="2500">
        <v>1401</v>
      </c>
      <c r="C4" s="2500">
        <v>1402</v>
      </c>
      <c r="D4" s="3541"/>
      <c r="E4" s="3541"/>
    </row>
    <row r="5" spans="1:5" ht="22.5">
      <c r="A5" s="2500" t="s">
        <v>1871</v>
      </c>
      <c r="B5" s="1683">
        <v>149983628</v>
      </c>
      <c r="C5" s="1682">
        <v>0</v>
      </c>
      <c r="D5" s="1683">
        <f t="shared" ref="D5:D15" si="0">C5-B5</f>
        <v>-149983628</v>
      </c>
      <c r="E5" s="1684" t="s">
        <v>95</v>
      </c>
    </row>
    <row r="6" spans="1:5" ht="22.5">
      <c r="A6" s="2500" t="s">
        <v>482</v>
      </c>
      <c r="B6" s="1683">
        <v>290270975</v>
      </c>
      <c r="C6" s="6">
        <v>0</v>
      </c>
      <c r="D6" s="1683">
        <f t="shared" si="0"/>
        <v>-290270975</v>
      </c>
      <c r="E6" s="1684" t="s">
        <v>95</v>
      </c>
    </row>
    <row r="7" spans="1:5" ht="19.5">
      <c r="A7" s="2500" t="s">
        <v>75</v>
      </c>
      <c r="B7" s="1683">
        <v>68311792362</v>
      </c>
      <c r="C7" s="1683">
        <v>64763043294</v>
      </c>
      <c r="D7" s="1683">
        <f>C7-B7</f>
        <v>-3548749068</v>
      </c>
      <c r="E7" s="1685">
        <f>D7/B7</f>
        <v>-5.1949289358334462E-2</v>
      </c>
    </row>
    <row r="8" spans="1:5" ht="19.5">
      <c r="A8" s="2500" t="s">
        <v>82</v>
      </c>
      <c r="B8" s="1683">
        <v>14177725959</v>
      </c>
      <c r="C8" s="1683">
        <v>4253813564</v>
      </c>
      <c r="D8" s="1683">
        <f t="shared" si="0"/>
        <v>-9923912395</v>
      </c>
      <c r="E8" s="1686">
        <f t="shared" ref="E8:E15" si="1">D8/B8</f>
        <v>-0.69996503132438637</v>
      </c>
    </row>
    <row r="9" spans="1:5" ht="19.5">
      <c r="A9" s="2500" t="s">
        <v>76</v>
      </c>
      <c r="B9" s="1683">
        <v>5528200765415</v>
      </c>
      <c r="C9" s="1683">
        <v>8381746988101</v>
      </c>
      <c r="D9" s="1683">
        <f t="shared" si="0"/>
        <v>2853546222686</v>
      </c>
      <c r="E9" s="1686">
        <f t="shared" si="1"/>
        <v>0.51617991888754877</v>
      </c>
    </row>
    <row r="10" spans="1:5" ht="19.5">
      <c r="A10" s="2500" t="s">
        <v>78</v>
      </c>
      <c r="B10" s="1683">
        <v>824213829765</v>
      </c>
      <c r="C10" s="1683">
        <v>1004254865329</v>
      </c>
      <c r="D10" s="1683">
        <f t="shared" si="0"/>
        <v>180041035564</v>
      </c>
      <c r="E10" s="1686">
        <f t="shared" si="1"/>
        <v>0.21843971680908744</v>
      </c>
    </row>
    <row r="11" spans="1:5" ht="19.5">
      <c r="A11" s="2500" t="s">
        <v>402</v>
      </c>
      <c r="B11" s="1683">
        <v>0</v>
      </c>
      <c r="C11" s="1683">
        <v>0</v>
      </c>
      <c r="D11" s="1683">
        <f t="shared" si="0"/>
        <v>0</v>
      </c>
      <c r="E11" s="1686">
        <v>0</v>
      </c>
    </row>
    <row r="12" spans="1:5" ht="22.5">
      <c r="A12" s="2500" t="s">
        <v>84</v>
      </c>
      <c r="B12" s="1683">
        <v>213081</v>
      </c>
      <c r="C12" s="1683">
        <v>0</v>
      </c>
      <c r="D12" s="1683">
        <f t="shared" si="0"/>
        <v>-213081</v>
      </c>
      <c r="E12" s="1687">
        <v>0</v>
      </c>
    </row>
    <row r="13" spans="1:5" ht="19.5">
      <c r="A13" s="2500" t="s">
        <v>72</v>
      </c>
      <c r="B13" s="1683">
        <v>6346991897</v>
      </c>
      <c r="C13" s="1683">
        <v>101052402</v>
      </c>
      <c r="D13" s="1683">
        <f t="shared" si="0"/>
        <v>-6245939495</v>
      </c>
      <c r="E13" s="1686">
        <f t="shared" si="1"/>
        <v>-0.98407869371193557</v>
      </c>
    </row>
    <row r="14" spans="1:5" ht="19.5">
      <c r="A14" s="2500" t="s">
        <v>83</v>
      </c>
      <c r="B14" s="1683">
        <v>1490856915662</v>
      </c>
      <c r="C14" s="1683">
        <v>1130291989109</v>
      </c>
      <c r="D14" s="1683">
        <f t="shared" si="0"/>
        <v>-360564926553</v>
      </c>
      <c r="E14" s="1686">
        <f t="shared" si="1"/>
        <v>-0.24185079249734356</v>
      </c>
    </row>
    <row r="15" spans="1:5" ht="19.5">
      <c r="A15" s="2500" t="s">
        <v>49</v>
      </c>
      <c r="B15" s="1683">
        <f>SUM(B5:B14)</f>
        <v>7932548488744</v>
      </c>
      <c r="C15" s="1683">
        <f>SUM(C5:C14)</f>
        <v>10585411751799</v>
      </c>
      <c r="D15" s="1683">
        <f t="shared" si="0"/>
        <v>2652863263055</v>
      </c>
      <c r="E15" s="1688">
        <f t="shared" si="1"/>
        <v>0.33442761387709352</v>
      </c>
    </row>
    <row r="16" spans="1:5" ht="17.25">
      <c r="A16" s="19"/>
      <c r="B16" s="19"/>
      <c r="C16" s="19"/>
      <c r="D16" s="19"/>
      <c r="E16" s="19"/>
    </row>
    <row r="17" spans="1:13" ht="16.5">
      <c r="A17" s="2970" t="s">
        <v>1872</v>
      </c>
      <c r="B17" s="2970"/>
      <c r="C17" s="2970"/>
      <c r="D17" s="2970"/>
      <c r="E17" s="2970"/>
      <c r="M17" s="1643">
        <v>3</v>
      </c>
    </row>
  </sheetData>
  <mergeCells count="7">
    <mergeCell ref="A17:E17"/>
    <mergeCell ref="A1:E1"/>
    <mergeCell ref="A2:E2"/>
    <mergeCell ref="A3:A4"/>
    <mergeCell ref="B3:C3"/>
    <mergeCell ref="D3:D4"/>
    <mergeCell ref="E3:E4"/>
  </mergeCells>
  <pageMargins left="1" right="1" top="1" bottom="1" header="0.5" footer="0.5"/>
  <pageSetup paperSize="9" scale="51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0000"/>
    <pageSetUpPr fitToPage="1"/>
  </sheetPr>
  <dimension ref="A1:W21"/>
  <sheetViews>
    <sheetView rightToLeft="1" workbookViewId="0">
      <selection activeCell="V1" sqref="A1:W17"/>
    </sheetView>
  </sheetViews>
  <sheetFormatPr defaultColWidth="9.125" defaultRowHeight="14.25"/>
  <cols>
    <col min="1" max="1" width="7.875" style="1643" bestFit="1" customWidth="1"/>
    <col min="2" max="3" width="4.875" style="1643" bestFit="1" customWidth="1"/>
    <col min="4" max="4" width="5.875" style="1643" bestFit="1" customWidth="1"/>
    <col min="5" max="5" width="6.75" style="1643" bestFit="1" customWidth="1"/>
    <col min="6" max="6" width="4.875" style="1643" bestFit="1" customWidth="1"/>
    <col min="7" max="7" width="7.25" style="1643" bestFit="1" customWidth="1"/>
    <col min="8" max="8" width="7.625" style="1643" bestFit="1" customWidth="1"/>
    <col min="9" max="9" width="8.625" style="1643" bestFit="1" customWidth="1"/>
    <col min="10" max="10" width="9" style="1643" bestFit="1" customWidth="1"/>
    <col min="11" max="11" width="8" style="1643" bestFit="1" customWidth="1"/>
    <col min="12" max="12" width="9.625" style="1643" bestFit="1" customWidth="1"/>
    <col min="13" max="13" width="6.875" style="1643" bestFit="1" customWidth="1"/>
    <col min="14" max="14" width="7.25" style="1643" bestFit="1" customWidth="1"/>
    <col min="15" max="15" width="8.75" style="1643" bestFit="1" customWidth="1"/>
    <col min="16" max="16" width="7.625" style="1643" bestFit="1" customWidth="1"/>
    <col min="17" max="17" width="7.75" style="1643" bestFit="1" customWidth="1"/>
    <col min="18" max="18" width="7.625" style="1643" bestFit="1" customWidth="1"/>
    <col min="19" max="19" width="4.875" style="1643" bestFit="1" customWidth="1"/>
    <col min="20" max="21" width="6.75" style="1643" bestFit="1" customWidth="1"/>
    <col min="22" max="22" width="4.875" style="1643" bestFit="1" customWidth="1"/>
    <col min="23" max="23" width="11.625" style="1643" bestFit="1" customWidth="1"/>
    <col min="24" max="16384" width="9.125" style="1643"/>
  </cols>
  <sheetData>
    <row r="1" spans="1:23" ht="36" customHeight="1">
      <c r="A1" s="3542" t="s">
        <v>1874</v>
      </c>
      <c r="B1" s="3543"/>
      <c r="C1" s="3543"/>
      <c r="D1" s="3543"/>
      <c r="E1" s="3543"/>
      <c r="F1" s="3543"/>
      <c r="G1" s="3543"/>
      <c r="H1" s="3543"/>
      <c r="I1" s="3543"/>
      <c r="J1" s="3543"/>
      <c r="K1" s="3543"/>
      <c r="L1" s="3543"/>
      <c r="M1" s="3543"/>
      <c r="N1" s="3543"/>
      <c r="O1" s="3543"/>
      <c r="P1" s="3543"/>
      <c r="Q1" s="3543"/>
      <c r="R1" s="3543"/>
      <c r="S1" s="3543"/>
      <c r="T1" s="3543"/>
      <c r="U1" s="3543"/>
      <c r="V1" s="3544" t="s">
        <v>1875</v>
      </c>
      <c r="W1" s="3545"/>
    </row>
    <row r="2" spans="1:23" ht="50.25">
      <c r="A2" s="1690" t="s">
        <v>1</v>
      </c>
      <c r="B2" s="1662" t="s">
        <v>68</v>
      </c>
      <c r="C2" s="1662" t="s">
        <v>69</v>
      </c>
      <c r="D2" s="1662" t="s">
        <v>70</v>
      </c>
      <c r="E2" s="1662" t="s">
        <v>71</v>
      </c>
      <c r="F2" s="1662" t="s">
        <v>72</v>
      </c>
      <c r="G2" s="1662" t="s">
        <v>73</v>
      </c>
      <c r="H2" s="1662" t="s">
        <v>483</v>
      </c>
      <c r="I2" s="1662" t="s">
        <v>75</v>
      </c>
      <c r="J2" s="1662" t="s">
        <v>76</v>
      </c>
      <c r="K2" s="1662" t="s">
        <v>77</v>
      </c>
      <c r="L2" s="1662" t="s">
        <v>78</v>
      </c>
      <c r="M2" s="1662" t="s">
        <v>79</v>
      </c>
      <c r="N2" s="1662" t="s">
        <v>82</v>
      </c>
      <c r="O2" s="1662" t="s">
        <v>83</v>
      </c>
      <c r="P2" s="1662" t="s">
        <v>403</v>
      </c>
      <c r="Q2" s="1662" t="s">
        <v>84</v>
      </c>
      <c r="R2" s="1662" t="s">
        <v>80</v>
      </c>
      <c r="S2" s="1662" t="s">
        <v>86</v>
      </c>
      <c r="T2" s="1662" t="s">
        <v>85</v>
      </c>
      <c r="U2" s="1662" t="s">
        <v>87</v>
      </c>
      <c r="V2" s="1662" t="s">
        <v>88</v>
      </c>
      <c r="W2" s="1709" t="s">
        <v>49</v>
      </c>
    </row>
    <row r="3" spans="1:23" ht="19.5">
      <c r="A3" s="1710" t="s">
        <v>37</v>
      </c>
      <c r="B3" s="1700">
        <v>0</v>
      </c>
      <c r="C3" s="1700">
        <v>0</v>
      </c>
      <c r="D3" s="1700">
        <v>0</v>
      </c>
      <c r="E3" s="1701">
        <v>4011618282</v>
      </c>
      <c r="F3" s="1711"/>
      <c r="G3" s="1701">
        <v>606910977</v>
      </c>
      <c r="H3" s="1701">
        <v>492494092</v>
      </c>
      <c r="I3" s="1701">
        <v>74784889435</v>
      </c>
      <c r="J3" s="1701">
        <v>679441712973</v>
      </c>
      <c r="K3" s="1700">
        <v>0</v>
      </c>
      <c r="L3" s="1701">
        <v>220940321886</v>
      </c>
      <c r="M3" s="1701">
        <v>1164116742</v>
      </c>
      <c r="N3" s="1701">
        <v>10599391748</v>
      </c>
      <c r="O3" s="1701">
        <v>122062573360</v>
      </c>
      <c r="P3" s="1701">
        <v>16492096953</v>
      </c>
      <c r="Q3" s="1701">
        <v>45277326844</v>
      </c>
      <c r="R3" s="1701">
        <v>19337060916</v>
      </c>
      <c r="S3" s="1700">
        <v>0</v>
      </c>
      <c r="T3" s="1700">
        <v>0</v>
      </c>
      <c r="U3" s="1701">
        <v>2925467934</v>
      </c>
      <c r="V3" s="1700">
        <v>0</v>
      </c>
      <c r="W3" s="1712">
        <f>SUM(B3:V3)</f>
        <v>1198135982142</v>
      </c>
    </row>
    <row r="4" spans="1:23" ht="19.5">
      <c r="A4" s="1710" t="s">
        <v>38</v>
      </c>
      <c r="B4" s="1700">
        <v>0</v>
      </c>
      <c r="C4" s="1700">
        <v>0</v>
      </c>
      <c r="D4" s="1700">
        <v>0</v>
      </c>
      <c r="E4" s="1701">
        <v>3489105887</v>
      </c>
      <c r="F4" s="1713">
        <v>0</v>
      </c>
      <c r="G4" s="1701">
        <v>5040096559</v>
      </c>
      <c r="H4" s="1701">
        <v>3978133573</v>
      </c>
      <c r="I4" s="1701">
        <v>95939800199</v>
      </c>
      <c r="J4" s="1701">
        <v>663173569882</v>
      </c>
      <c r="K4" s="1700">
        <v>0</v>
      </c>
      <c r="L4" s="1701">
        <v>117387952197</v>
      </c>
      <c r="M4" s="1701">
        <v>268642614</v>
      </c>
      <c r="N4" s="1701">
        <v>2327788140</v>
      </c>
      <c r="O4" s="1701">
        <v>140671393396</v>
      </c>
      <c r="P4" s="1701">
        <v>22936978153</v>
      </c>
      <c r="Q4" s="1701">
        <v>38613126352</v>
      </c>
      <c r="R4" s="1701">
        <v>13434121888</v>
      </c>
      <c r="S4" s="1700">
        <v>0</v>
      </c>
      <c r="T4" s="1700">
        <v>0</v>
      </c>
      <c r="U4" s="1701">
        <v>8346739032</v>
      </c>
      <c r="V4" s="1700">
        <v>0</v>
      </c>
      <c r="W4" s="1712">
        <f t="shared" ref="W4:W12" si="0">SUM(B4:V4)</f>
        <v>1115607447872</v>
      </c>
    </row>
    <row r="5" spans="1:23" ht="19.5">
      <c r="A5" s="1710" t="s">
        <v>39</v>
      </c>
      <c r="B5" s="1700">
        <v>0</v>
      </c>
      <c r="C5" s="1700">
        <v>0</v>
      </c>
      <c r="D5" s="1701">
        <v>1253739426</v>
      </c>
      <c r="E5" s="1701">
        <v>3183029398</v>
      </c>
      <c r="F5" s="1711"/>
      <c r="G5" s="1701">
        <v>2591594637</v>
      </c>
      <c r="H5" s="1701">
        <v>9482999918</v>
      </c>
      <c r="I5" s="1701">
        <v>106467101932</v>
      </c>
      <c r="J5" s="1701">
        <v>759104101632</v>
      </c>
      <c r="K5" s="1700">
        <v>0</v>
      </c>
      <c r="L5" s="1701">
        <v>87059884945</v>
      </c>
      <c r="M5" s="1701">
        <v>419021222</v>
      </c>
      <c r="N5" s="1701">
        <v>6281255012</v>
      </c>
      <c r="O5" s="1701">
        <v>162821563696</v>
      </c>
      <c r="P5" s="1701">
        <v>32566971422</v>
      </c>
      <c r="Q5" s="1701">
        <v>46785125831</v>
      </c>
      <c r="R5" s="1701">
        <v>975435264</v>
      </c>
      <c r="S5" s="1700">
        <v>0</v>
      </c>
      <c r="T5" s="1701">
        <v>618416176</v>
      </c>
      <c r="U5" s="1701">
        <v>6095844511</v>
      </c>
      <c r="V5" s="1700">
        <v>0</v>
      </c>
      <c r="W5" s="1712">
        <f t="shared" si="0"/>
        <v>1225706085022</v>
      </c>
    </row>
    <row r="6" spans="1:23" ht="19.5">
      <c r="A6" s="1710" t="s">
        <v>40</v>
      </c>
      <c r="B6" s="1700">
        <v>0</v>
      </c>
      <c r="C6" s="1700">
        <v>0</v>
      </c>
      <c r="D6" s="1701">
        <v>629952379</v>
      </c>
      <c r="E6" s="1701">
        <v>2218411435</v>
      </c>
      <c r="F6" s="1711"/>
      <c r="G6" s="1701">
        <v>5151687954</v>
      </c>
      <c r="H6" s="1700">
        <v>0</v>
      </c>
      <c r="I6" s="1701">
        <v>66524386588</v>
      </c>
      <c r="J6" s="1701">
        <v>577862335249</v>
      </c>
      <c r="K6" s="1700">
        <v>0</v>
      </c>
      <c r="L6" s="1701">
        <v>73714351571</v>
      </c>
      <c r="M6" s="1701">
        <v>726955255</v>
      </c>
      <c r="N6" s="1701">
        <v>4700106120</v>
      </c>
      <c r="O6" s="1701">
        <v>83945352465</v>
      </c>
      <c r="P6" s="1701">
        <v>17763819561</v>
      </c>
      <c r="Q6" s="1701">
        <v>56512082692</v>
      </c>
      <c r="R6" s="1701">
        <v>2226969900</v>
      </c>
      <c r="S6" s="1700">
        <v>0</v>
      </c>
      <c r="T6" s="1700">
        <v>0</v>
      </c>
      <c r="U6" s="1700">
        <v>0</v>
      </c>
      <c r="V6" s="1700">
        <v>0</v>
      </c>
      <c r="W6" s="1712">
        <f t="shared" si="0"/>
        <v>891976411169</v>
      </c>
    </row>
    <row r="7" spans="1:23" ht="19.5">
      <c r="A7" s="1710" t="s">
        <v>41</v>
      </c>
      <c r="B7" s="1700">
        <v>0</v>
      </c>
      <c r="C7" s="1700">
        <v>0</v>
      </c>
      <c r="D7" s="1700">
        <v>0</v>
      </c>
      <c r="E7" s="1701">
        <v>5878310047</v>
      </c>
      <c r="F7" s="1713">
        <v>0</v>
      </c>
      <c r="G7" s="1701">
        <v>1676663759</v>
      </c>
      <c r="H7" s="1701">
        <v>1899398799</v>
      </c>
      <c r="I7" s="1701">
        <v>73706270005</v>
      </c>
      <c r="J7" s="1701">
        <v>440434620694</v>
      </c>
      <c r="K7" s="1700">
        <v>0</v>
      </c>
      <c r="L7" s="1701">
        <v>130665932602</v>
      </c>
      <c r="M7" s="1701">
        <v>612499431</v>
      </c>
      <c r="N7" s="1701">
        <v>3542265880</v>
      </c>
      <c r="O7" s="1701">
        <v>157453764797</v>
      </c>
      <c r="P7" s="1701">
        <v>31080219644</v>
      </c>
      <c r="Q7" s="1701">
        <v>47054052323</v>
      </c>
      <c r="R7" s="1701">
        <v>4859300735</v>
      </c>
      <c r="S7" s="1700">
        <v>0</v>
      </c>
      <c r="T7" s="1700">
        <v>0</v>
      </c>
      <c r="U7" s="1701">
        <v>1818241227</v>
      </c>
      <c r="V7" s="1700">
        <v>0</v>
      </c>
      <c r="W7" s="1712">
        <f t="shared" si="0"/>
        <v>900681539943</v>
      </c>
    </row>
    <row r="8" spans="1:23" ht="19.5">
      <c r="A8" s="1710" t="s">
        <v>42</v>
      </c>
      <c r="B8" s="1700">
        <v>0</v>
      </c>
      <c r="C8" s="1700">
        <v>0</v>
      </c>
      <c r="D8" s="1700">
        <v>0</v>
      </c>
      <c r="E8" s="1701">
        <v>2586291582</v>
      </c>
      <c r="F8" s="1711"/>
      <c r="G8" s="1701">
        <v>1278981969</v>
      </c>
      <c r="H8" s="1701">
        <v>791579372</v>
      </c>
      <c r="I8" s="1701">
        <v>83540617438</v>
      </c>
      <c r="J8" s="1701">
        <v>939046101119</v>
      </c>
      <c r="K8" s="1700">
        <v>0</v>
      </c>
      <c r="L8" s="1701">
        <v>186114139240</v>
      </c>
      <c r="M8" s="1701">
        <v>453584483</v>
      </c>
      <c r="N8" s="1701">
        <v>3964459676</v>
      </c>
      <c r="O8" s="1701">
        <v>129523442717</v>
      </c>
      <c r="P8" s="1701">
        <v>12065118498</v>
      </c>
      <c r="Q8" s="1701">
        <v>50146615669</v>
      </c>
      <c r="R8" s="1701">
        <v>4088339911</v>
      </c>
      <c r="S8" s="1700">
        <v>0</v>
      </c>
      <c r="T8" s="1700">
        <v>0</v>
      </c>
      <c r="U8" s="1701">
        <v>7377255067</v>
      </c>
      <c r="V8" s="1700">
        <v>0</v>
      </c>
      <c r="W8" s="1712">
        <f t="shared" si="0"/>
        <v>1420976526741</v>
      </c>
    </row>
    <row r="9" spans="1:23" ht="19.5">
      <c r="A9" s="1710" t="s">
        <v>43</v>
      </c>
      <c r="B9" s="1700">
        <v>0</v>
      </c>
      <c r="C9" s="1700">
        <v>0</v>
      </c>
      <c r="D9" s="1700">
        <v>0</v>
      </c>
      <c r="E9" s="1701">
        <v>933808461</v>
      </c>
      <c r="F9" s="1713">
        <v>0</v>
      </c>
      <c r="G9" s="1701">
        <v>2748461299</v>
      </c>
      <c r="H9" s="1701">
        <v>15452629664</v>
      </c>
      <c r="I9" s="1701">
        <v>67642950268</v>
      </c>
      <c r="J9" s="1701">
        <v>1001075676234</v>
      </c>
      <c r="K9" s="1700">
        <v>0</v>
      </c>
      <c r="L9" s="1701">
        <v>206136525676</v>
      </c>
      <c r="M9" s="1701">
        <v>390747518</v>
      </c>
      <c r="N9" s="1701">
        <v>2709955036</v>
      </c>
      <c r="O9" s="1701">
        <v>75124351836</v>
      </c>
      <c r="P9" s="1700">
        <v>0</v>
      </c>
      <c r="Q9" s="1701">
        <v>80445083490</v>
      </c>
      <c r="R9" s="1701">
        <v>3638615642</v>
      </c>
      <c r="S9" s="1700">
        <v>0</v>
      </c>
      <c r="T9" s="1700">
        <v>0</v>
      </c>
      <c r="U9" s="1701">
        <v>2400587240</v>
      </c>
      <c r="V9" s="1700">
        <v>0</v>
      </c>
      <c r="W9" s="1712">
        <f t="shared" si="0"/>
        <v>1458699392364</v>
      </c>
    </row>
    <row r="10" spans="1:23" ht="19.5">
      <c r="A10" s="1710" t="s">
        <v>405</v>
      </c>
      <c r="B10" s="1700">
        <v>0</v>
      </c>
      <c r="C10" s="1700">
        <v>0</v>
      </c>
      <c r="D10" s="1700">
        <v>0</v>
      </c>
      <c r="E10" s="1701">
        <v>9165863542</v>
      </c>
      <c r="F10" s="1713">
        <v>0</v>
      </c>
      <c r="G10" s="1700">
        <v>2179449705</v>
      </c>
      <c r="H10" s="1701">
        <v>21205868131</v>
      </c>
      <c r="I10" s="1701">
        <v>87242262743</v>
      </c>
      <c r="J10" s="1701">
        <v>987446953666</v>
      </c>
      <c r="K10" s="1701">
        <v>1080047556</v>
      </c>
      <c r="L10" s="1701">
        <v>193619137091</v>
      </c>
      <c r="M10" s="1701">
        <v>757324712</v>
      </c>
      <c r="N10" s="1701">
        <v>3298802504</v>
      </c>
      <c r="O10" s="1701">
        <v>81412668481</v>
      </c>
      <c r="P10" s="1700">
        <v>0</v>
      </c>
      <c r="Q10" s="1701">
        <v>38233453659</v>
      </c>
      <c r="R10" s="1701">
        <v>4433927148</v>
      </c>
      <c r="S10" s="1700">
        <v>0</v>
      </c>
      <c r="T10" s="1700">
        <v>0</v>
      </c>
      <c r="U10" s="1701">
        <v>1464539903</v>
      </c>
      <c r="V10" s="1700">
        <v>0</v>
      </c>
      <c r="W10" s="1712">
        <f t="shared" si="0"/>
        <v>1431540298841</v>
      </c>
    </row>
    <row r="11" spans="1:23" ht="19.5">
      <c r="A11" s="1710" t="s">
        <v>45</v>
      </c>
      <c r="B11" s="1700">
        <v>0</v>
      </c>
      <c r="C11" s="1700">
        <v>0</v>
      </c>
      <c r="D11" s="1700">
        <v>0</v>
      </c>
      <c r="E11" s="1701">
        <v>5590127544</v>
      </c>
      <c r="F11" s="1713">
        <v>0</v>
      </c>
      <c r="G11" s="1701">
        <v>3424643141</v>
      </c>
      <c r="H11" s="1701">
        <v>537436224</v>
      </c>
      <c r="I11" s="1701">
        <v>82762378076</v>
      </c>
      <c r="J11" s="1701">
        <v>1287990472461</v>
      </c>
      <c r="K11" s="1701">
        <v>13870459300</v>
      </c>
      <c r="L11" s="1701">
        <v>222533046190</v>
      </c>
      <c r="M11" s="1701">
        <v>0</v>
      </c>
      <c r="N11" s="1701">
        <v>3033767436</v>
      </c>
      <c r="O11" s="1701">
        <v>57337703583</v>
      </c>
      <c r="P11" s="1700">
        <v>0</v>
      </c>
      <c r="Q11" s="1701">
        <v>29294464583</v>
      </c>
      <c r="R11" s="1701">
        <v>6154804610</v>
      </c>
      <c r="S11" s="1700">
        <v>0</v>
      </c>
      <c r="T11" s="1700">
        <v>0</v>
      </c>
      <c r="U11" s="1701">
        <v>11030496011</v>
      </c>
      <c r="V11" s="1700">
        <v>0</v>
      </c>
      <c r="W11" s="1712">
        <f t="shared" si="0"/>
        <v>1723559799159</v>
      </c>
    </row>
    <row r="12" spans="1:23" ht="19.5">
      <c r="A12" s="1710" t="s">
        <v>406</v>
      </c>
      <c r="B12" s="1700">
        <v>0</v>
      </c>
      <c r="C12" s="1700">
        <v>0</v>
      </c>
      <c r="D12" s="1700">
        <v>0</v>
      </c>
      <c r="E12" s="1701">
        <v>139106902</v>
      </c>
      <c r="F12" s="1711"/>
      <c r="G12" s="1700">
        <v>8018068521</v>
      </c>
      <c r="H12" s="1700">
        <v>0</v>
      </c>
      <c r="I12" s="1701">
        <v>80446468787</v>
      </c>
      <c r="J12" s="1701">
        <v>1230382764436</v>
      </c>
      <c r="K12" s="1701">
        <v>28489283432</v>
      </c>
      <c r="L12" s="1701">
        <v>253754941144</v>
      </c>
      <c r="M12" s="1701">
        <v>10830664319</v>
      </c>
      <c r="N12" s="1701">
        <v>3688195912</v>
      </c>
      <c r="O12" s="1701">
        <v>79083723513</v>
      </c>
      <c r="P12" s="1700">
        <v>0</v>
      </c>
      <c r="Q12" s="1701">
        <v>11529309803</v>
      </c>
      <c r="R12" s="1701">
        <v>11738599673</v>
      </c>
      <c r="S12" s="1700">
        <v>0</v>
      </c>
      <c r="T12" s="1700">
        <v>0</v>
      </c>
      <c r="U12" s="1701">
        <v>3977978070</v>
      </c>
      <c r="V12" s="1700">
        <v>0</v>
      </c>
      <c r="W12" s="1712">
        <f t="shared" si="0"/>
        <v>1722079104512</v>
      </c>
    </row>
    <row r="13" spans="1:23" ht="19.5">
      <c r="A13" s="1710" t="s">
        <v>47</v>
      </c>
      <c r="B13" s="1700"/>
      <c r="C13" s="1700">
        <v>0</v>
      </c>
      <c r="D13" s="1700">
        <v>0</v>
      </c>
      <c r="E13" s="1701">
        <v>6110278819</v>
      </c>
      <c r="F13" s="1711">
        <v>101052402</v>
      </c>
      <c r="G13" s="1701">
        <v>1765451022</v>
      </c>
      <c r="H13" s="1701">
        <v>15447497856</v>
      </c>
      <c r="I13" s="1701">
        <v>85346461434</v>
      </c>
      <c r="J13" s="1701">
        <v>1271615549822</v>
      </c>
      <c r="K13" s="1701">
        <v>38711900732</v>
      </c>
      <c r="L13" s="1701">
        <v>265725616360</v>
      </c>
      <c r="M13" s="1700">
        <v>0</v>
      </c>
      <c r="N13" s="1701">
        <v>6692414604</v>
      </c>
      <c r="O13" s="1701">
        <v>78800707947</v>
      </c>
      <c r="P13" s="1701">
        <v>11088358480</v>
      </c>
      <c r="Q13" s="1701">
        <v>32077924052</v>
      </c>
      <c r="R13" s="1701">
        <v>2337199420</v>
      </c>
      <c r="S13" s="1700">
        <v>0</v>
      </c>
      <c r="T13" s="1701">
        <v>9936053261</v>
      </c>
      <c r="U13" s="1701">
        <v>10048760257</v>
      </c>
      <c r="V13" s="1700">
        <v>0</v>
      </c>
      <c r="W13" s="1712">
        <f>SUM(B13:V13)</f>
        <v>1835805226468</v>
      </c>
    </row>
    <row r="14" spans="1:23" ht="19.5">
      <c r="A14" s="1710" t="s">
        <v>48</v>
      </c>
      <c r="B14" s="1700">
        <v>0</v>
      </c>
      <c r="C14" s="1700">
        <v>0</v>
      </c>
      <c r="D14" s="1701">
        <v>3330013625</v>
      </c>
      <c r="E14" s="1701">
        <v>27584406023</v>
      </c>
      <c r="F14" s="1713">
        <v>0</v>
      </c>
      <c r="G14" s="1701">
        <v>8242985694</v>
      </c>
      <c r="H14" s="1701">
        <v>15076223442</v>
      </c>
      <c r="I14" s="1701">
        <v>109836622826</v>
      </c>
      <c r="J14" s="1701">
        <v>1163739466368</v>
      </c>
      <c r="K14" s="1700">
        <v>65661074249</v>
      </c>
      <c r="L14" s="1701">
        <v>230998141496</v>
      </c>
      <c r="M14" s="1701">
        <v>808788741</v>
      </c>
      <c r="N14" s="1701">
        <v>5585973752</v>
      </c>
      <c r="O14" s="1701">
        <v>43739182777</v>
      </c>
      <c r="P14" s="1701">
        <v>21178724000</v>
      </c>
      <c r="Q14" s="1701">
        <v>34267975608</v>
      </c>
      <c r="R14" s="1701">
        <v>16130649647</v>
      </c>
      <c r="S14" s="1700">
        <v>0</v>
      </c>
      <c r="T14" s="1700">
        <v>0</v>
      </c>
      <c r="U14" s="1701">
        <v>10744749643</v>
      </c>
      <c r="V14" s="1700">
        <v>0</v>
      </c>
      <c r="W14" s="1712">
        <f>SUM(B14:V14)</f>
        <v>1756924977891</v>
      </c>
    </row>
    <row r="15" spans="1:23" ht="20.25" thickBot="1">
      <c r="A15" s="1714" t="s">
        <v>49</v>
      </c>
      <c r="B15" s="1715">
        <f>SUM(B3:B14)</f>
        <v>0</v>
      </c>
      <c r="C15" s="1715">
        <f>SUM(C3:C14)</f>
        <v>0</v>
      </c>
      <c r="D15" s="1715">
        <f>SUM(D3:D14)</f>
        <v>5213705430</v>
      </c>
      <c r="E15" s="1715">
        <f>SUM(E3:E14)</f>
        <v>70890357922</v>
      </c>
      <c r="F15" s="1716">
        <f t="shared" ref="F15" si="1">SUM(F3:F14)</f>
        <v>101052402</v>
      </c>
      <c r="G15" s="1715">
        <f>SUM(G3:G14)</f>
        <v>42724995237</v>
      </c>
      <c r="H15" s="1715">
        <f>SUM(H3:H14)</f>
        <v>84364261071</v>
      </c>
      <c r="I15" s="1715">
        <f>SUM(I3:I14)</f>
        <v>1014240209731</v>
      </c>
      <c r="J15" s="1715">
        <f>SUM(J3:J14)</f>
        <v>11001313324536</v>
      </c>
      <c r="K15" s="1715">
        <f>SUM(K3:K14)</f>
        <v>147812765269</v>
      </c>
      <c r="L15" s="1715">
        <f t="shared" ref="L15:P15" si="2">SUM(L3:L14)</f>
        <v>2188649990398</v>
      </c>
      <c r="M15" s="1715">
        <f t="shared" si="2"/>
        <v>16432345037</v>
      </c>
      <c r="N15" s="1715">
        <f>SUM(N3:N14)</f>
        <v>56424375820</v>
      </c>
      <c r="O15" s="1715">
        <f t="shared" si="2"/>
        <v>1211976428568</v>
      </c>
      <c r="P15" s="1715">
        <f t="shared" si="2"/>
        <v>165172286711</v>
      </c>
      <c r="Q15" s="1715">
        <f>SUM(Q3:Q14)</f>
        <v>510236540906</v>
      </c>
      <c r="R15" s="1715">
        <f>SUM(R3:R14)</f>
        <v>89355024754</v>
      </c>
      <c r="S15" s="1715">
        <f>SUM(S3:S14)</f>
        <v>0</v>
      </c>
      <c r="T15" s="1715">
        <f>SUM(T3:T14)</f>
        <v>10554469437</v>
      </c>
      <c r="U15" s="1715">
        <f>SUM(U3:U14)</f>
        <v>66230658895</v>
      </c>
      <c r="V15" s="1715">
        <v>0</v>
      </c>
      <c r="W15" s="1717">
        <f>SUM(B15:V15)</f>
        <v>16681692792124</v>
      </c>
    </row>
    <row r="17" spans="1:23" ht="16.5">
      <c r="A17" s="2970" t="s">
        <v>1872</v>
      </c>
      <c r="B17" s="2970"/>
      <c r="C17" s="2970"/>
      <c r="D17" s="2970"/>
      <c r="E17" s="2970"/>
      <c r="F17" s="2970"/>
      <c r="G17" s="2970"/>
    </row>
    <row r="18" spans="1:23">
      <c r="W18" s="1643">
        <v>10585411751799</v>
      </c>
    </row>
    <row r="19" spans="1:23">
      <c r="W19" s="1643">
        <v>6096281040325</v>
      </c>
    </row>
    <row r="20" spans="1:23">
      <c r="W20" s="1643">
        <f>SUM(W18:W19)</f>
        <v>16681692792124</v>
      </c>
    </row>
    <row r="21" spans="1:23">
      <c r="W21" s="1643">
        <f>+W20/1000000</f>
        <v>16681692.792123999</v>
      </c>
    </row>
  </sheetData>
  <mergeCells count="3">
    <mergeCell ref="A1:U1"/>
    <mergeCell ref="V1:W1"/>
    <mergeCell ref="A17:G17"/>
  </mergeCells>
  <pageMargins left="0.25" right="0.25" top="0.75" bottom="0.75" header="0.3" footer="0.3"/>
  <pageSetup paperSize="9" scale="7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0000"/>
  </sheetPr>
  <dimension ref="A1:F34"/>
  <sheetViews>
    <sheetView rightToLeft="1" workbookViewId="0">
      <selection sqref="A1:F34"/>
    </sheetView>
  </sheetViews>
  <sheetFormatPr defaultColWidth="9.125" defaultRowHeight="14.25"/>
  <cols>
    <col min="1" max="1" width="30.375" style="1643" customWidth="1"/>
    <col min="2" max="2" width="11" style="1643" bestFit="1" customWidth="1"/>
    <col min="3" max="4" width="12.25" style="1643" bestFit="1" customWidth="1"/>
    <col min="5" max="5" width="12.125" style="1643" bestFit="1" customWidth="1"/>
    <col min="6" max="6" width="12.25" style="1643" bestFit="1" customWidth="1"/>
    <col min="7" max="16384" width="9.125" style="1643"/>
  </cols>
  <sheetData>
    <row r="1" spans="1:6" ht="26.25">
      <c r="A1" s="3546" t="s">
        <v>1876</v>
      </c>
      <c r="B1" s="3547"/>
      <c r="C1" s="3547"/>
      <c r="D1" s="3547"/>
      <c r="E1" s="3547"/>
      <c r="F1" s="3548"/>
    </row>
    <row r="2" spans="1:6" ht="15.75">
      <c r="A2" s="3549" t="s">
        <v>64</v>
      </c>
      <c r="B2" s="3550"/>
      <c r="C2" s="3550"/>
      <c r="D2" s="3550"/>
      <c r="E2" s="3550"/>
      <c r="F2" s="3551"/>
    </row>
    <row r="3" spans="1:6" ht="56.25">
      <c r="A3" s="2501" t="s">
        <v>1</v>
      </c>
      <c r="B3" s="2502" t="s">
        <v>1877</v>
      </c>
      <c r="C3" s="2502" t="s">
        <v>1878</v>
      </c>
      <c r="D3" s="2502" t="s">
        <v>1879</v>
      </c>
      <c r="E3" s="2502" t="s">
        <v>1880</v>
      </c>
      <c r="F3" s="2503" t="s">
        <v>49</v>
      </c>
    </row>
    <row r="4" spans="1:6" ht="18.75">
      <c r="A4" s="2501" t="s">
        <v>1881</v>
      </c>
      <c r="B4" s="2504">
        <v>660651.52126099996</v>
      </c>
      <c r="C4" s="2505"/>
      <c r="D4" s="2504">
        <v>217875.49101999999</v>
      </c>
      <c r="E4" s="2504">
        <v>334552.35886199999</v>
      </c>
      <c r="F4" s="2507">
        <f t="shared" ref="F4:F32" si="0">SUM(B4:E4)</f>
        <v>1213079.371143</v>
      </c>
    </row>
    <row r="5" spans="1:6" ht="18.75">
      <c r="A5" s="2501" t="s">
        <v>1882</v>
      </c>
      <c r="B5" s="2504">
        <v>25259.75016</v>
      </c>
      <c r="C5" s="2505"/>
      <c r="D5" s="2504">
        <v>62468.284108</v>
      </c>
      <c r="E5" s="2504">
        <v>132562.73709899999</v>
      </c>
      <c r="F5" s="2507">
        <f t="shared" si="0"/>
        <v>220290.77136700001</v>
      </c>
    </row>
    <row r="6" spans="1:6" ht="18.75">
      <c r="A6" s="2501" t="s">
        <v>1883</v>
      </c>
      <c r="B6" s="2504">
        <v>4994.13</v>
      </c>
      <c r="C6" s="2505"/>
      <c r="D6" s="2504">
        <v>8821.9885740000009</v>
      </c>
      <c r="E6" s="2504">
        <v>11447.024300999999</v>
      </c>
      <c r="F6" s="2507">
        <f t="shared" si="0"/>
        <v>25263.142874999998</v>
      </c>
    </row>
    <row r="7" spans="1:6" ht="18.75">
      <c r="A7" s="2501" t="s">
        <v>1884</v>
      </c>
      <c r="B7" s="2504">
        <v>32702.793906999999</v>
      </c>
      <c r="C7" s="2505"/>
      <c r="D7" s="2504">
        <v>35068.381469</v>
      </c>
      <c r="E7" s="2504">
        <v>625145.64364899998</v>
      </c>
      <c r="F7" s="2507">
        <f t="shared" si="0"/>
        <v>692916.81902499998</v>
      </c>
    </row>
    <row r="8" spans="1:6" ht="18.75">
      <c r="A8" s="2501" t="s">
        <v>1885</v>
      </c>
      <c r="B8" s="2504">
        <v>82936.528151000006</v>
      </c>
      <c r="C8" s="2505"/>
      <c r="D8" s="2504">
        <v>51295.49209</v>
      </c>
      <c r="E8" s="2504">
        <v>895695.60329500004</v>
      </c>
      <c r="F8" s="2507">
        <f t="shared" si="0"/>
        <v>1029927.623536</v>
      </c>
    </row>
    <row r="9" spans="1:6" ht="18.75">
      <c r="A9" s="2501" t="s">
        <v>1886</v>
      </c>
      <c r="B9" s="2504">
        <v>34466.636136000001</v>
      </c>
      <c r="C9" s="2505"/>
      <c r="D9" s="2504">
        <v>94446.688852000007</v>
      </c>
      <c r="E9" s="2504">
        <v>806265.08827800001</v>
      </c>
      <c r="F9" s="2507">
        <f t="shared" si="0"/>
        <v>935178.41326599999</v>
      </c>
    </row>
    <row r="10" spans="1:6" ht="18.75">
      <c r="A10" s="2501" t="s">
        <v>1887</v>
      </c>
      <c r="B10" s="2504">
        <v>1199.3</v>
      </c>
      <c r="C10" s="2505"/>
      <c r="D10" s="2504">
        <v>10405.486477</v>
      </c>
      <c r="E10" s="2504">
        <v>92191.895902000004</v>
      </c>
      <c r="F10" s="2507">
        <f t="shared" si="0"/>
        <v>103796.68237900001</v>
      </c>
    </row>
    <row r="11" spans="1:6" ht="18.75">
      <c r="A11" s="2501" t="s">
        <v>1888</v>
      </c>
      <c r="B11" s="2504">
        <v>9400.6039999999994</v>
      </c>
      <c r="C11" s="2505"/>
      <c r="D11" s="2504">
        <v>40367.667667000002</v>
      </c>
      <c r="E11" s="2504">
        <v>66930.953911999997</v>
      </c>
      <c r="F11" s="2507">
        <f t="shared" si="0"/>
        <v>116699.22557899999</v>
      </c>
    </row>
    <row r="12" spans="1:6" ht="18.75">
      <c r="A12" s="2501" t="s">
        <v>1889</v>
      </c>
      <c r="B12" s="2504">
        <v>229544.52199000001</v>
      </c>
      <c r="C12" s="2505"/>
      <c r="D12" s="2504">
        <v>94128.991282999996</v>
      </c>
      <c r="E12" s="2504">
        <v>2175494.305005</v>
      </c>
      <c r="F12" s="2507">
        <f t="shared" si="0"/>
        <v>2499167.8182779998</v>
      </c>
    </row>
    <row r="13" spans="1:6" ht="18.75">
      <c r="A13" s="2501" t="s">
        <v>1890</v>
      </c>
      <c r="B13" s="2504">
        <v>23340.496246999999</v>
      </c>
      <c r="C13" s="2505"/>
      <c r="D13" s="2504">
        <v>76127.673582000003</v>
      </c>
      <c r="E13" s="2504">
        <v>44444.543902999998</v>
      </c>
      <c r="F13" s="2507">
        <f t="shared" si="0"/>
        <v>143912.713732</v>
      </c>
    </row>
    <row r="14" spans="1:6" ht="18.75">
      <c r="A14" s="2501" t="s">
        <v>1891</v>
      </c>
      <c r="B14" s="2504">
        <v>16853.075499999999</v>
      </c>
      <c r="C14" s="2505"/>
      <c r="D14" s="2504">
        <v>7369.249691</v>
      </c>
      <c r="E14" s="2504">
        <v>179267.83116599999</v>
      </c>
      <c r="F14" s="2507">
        <f t="shared" si="0"/>
        <v>203490.156357</v>
      </c>
    </row>
    <row r="15" spans="1:6" ht="18.75">
      <c r="A15" s="2501" t="s">
        <v>1892</v>
      </c>
      <c r="B15" s="2504">
        <v>16859.940316</v>
      </c>
      <c r="C15" s="2505"/>
      <c r="D15" s="2504">
        <v>30052.298555000001</v>
      </c>
      <c r="E15" s="2504">
        <v>68693.611795000004</v>
      </c>
      <c r="F15" s="2507">
        <f t="shared" si="0"/>
        <v>115605.85066600001</v>
      </c>
    </row>
    <row r="16" spans="1:6" ht="18.75">
      <c r="A16" s="2501" t="s">
        <v>1893</v>
      </c>
      <c r="B16" s="2504">
        <v>95821.218019000007</v>
      </c>
      <c r="C16" s="2505"/>
      <c r="D16" s="2504">
        <v>61920.343657999998</v>
      </c>
      <c r="E16" s="2504">
        <v>1326554.958745</v>
      </c>
      <c r="F16" s="2507">
        <f t="shared" si="0"/>
        <v>1484296.520422</v>
      </c>
    </row>
    <row r="17" spans="1:6" ht="18.75">
      <c r="A17" s="2501" t="s">
        <v>1894</v>
      </c>
      <c r="B17" s="2504">
        <v>1626.3887749999999</v>
      </c>
      <c r="C17" s="2505"/>
      <c r="D17" s="2504">
        <v>103872.829088</v>
      </c>
      <c r="E17" s="2504">
        <v>1075190.0488720001</v>
      </c>
      <c r="F17" s="2507">
        <f t="shared" si="0"/>
        <v>1180689.2667350001</v>
      </c>
    </row>
    <row r="18" spans="1:6" ht="18.75">
      <c r="A18" s="2501" t="s">
        <v>1895</v>
      </c>
      <c r="B18" s="2504">
        <v>14724.356</v>
      </c>
      <c r="C18" s="2505"/>
      <c r="D18" s="2504">
        <v>19308.706590999998</v>
      </c>
      <c r="E18" s="2504">
        <v>146494.882752</v>
      </c>
      <c r="F18" s="2507">
        <f t="shared" si="0"/>
        <v>180527.945343</v>
      </c>
    </row>
    <row r="19" spans="1:6" ht="18.75">
      <c r="A19" s="2501" t="s">
        <v>1896</v>
      </c>
      <c r="B19" s="2504">
        <v>13289.222141</v>
      </c>
      <c r="C19" s="2505"/>
      <c r="D19" s="2504">
        <v>6802.1062220000003</v>
      </c>
      <c r="E19" s="2504">
        <v>25823.327244</v>
      </c>
      <c r="F19" s="2507">
        <f t="shared" si="0"/>
        <v>45914.655607000001</v>
      </c>
    </row>
    <row r="20" spans="1:6" ht="18.75">
      <c r="A20" s="2501" t="s">
        <v>1897</v>
      </c>
      <c r="B20" s="2504">
        <v>1238.841666</v>
      </c>
      <c r="C20" s="2505"/>
      <c r="D20" s="2504">
        <v>25566.530618000001</v>
      </c>
      <c r="E20" s="2504">
        <v>43842.384935000002</v>
      </c>
      <c r="F20" s="2507">
        <f t="shared" si="0"/>
        <v>70647.757219000006</v>
      </c>
    </row>
    <row r="21" spans="1:6" ht="18.75">
      <c r="A21" s="2501" t="s">
        <v>1898</v>
      </c>
      <c r="B21" s="2504">
        <v>6008.6833319999996</v>
      </c>
      <c r="C21" s="2505"/>
      <c r="D21" s="2504">
        <v>4971.2802110000002</v>
      </c>
      <c r="E21" s="2504">
        <v>69976.462421999997</v>
      </c>
      <c r="F21" s="2507">
        <f t="shared" si="0"/>
        <v>80956.425965000002</v>
      </c>
    </row>
    <row r="22" spans="1:6" ht="18.75">
      <c r="A22" s="2501" t="s">
        <v>1899</v>
      </c>
      <c r="B22" s="2504">
        <v>37398.162430999997</v>
      </c>
      <c r="C22" s="2505"/>
      <c r="D22" s="2504">
        <v>95600.725747999997</v>
      </c>
      <c r="E22" s="2504">
        <v>61643.313753000002</v>
      </c>
      <c r="F22" s="2507">
        <f t="shared" si="0"/>
        <v>194642.201932</v>
      </c>
    </row>
    <row r="23" spans="1:6" ht="18.75">
      <c r="A23" s="2501" t="s">
        <v>1900</v>
      </c>
      <c r="B23" s="2504">
        <v>17614.513887000001</v>
      </c>
      <c r="C23" s="2505"/>
      <c r="D23" s="2504">
        <v>11178.902249999999</v>
      </c>
      <c r="E23" s="2504">
        <v>142468.56284999999</v>
      </c>
      <c r="F23" s="2507">
        <f t="shared" si="0"/>
        <v>171261.97898699998</v>
      </c>
    </row>
    <row r="24" spans="1:6" ht="18.75">
      <c r="A24" s="2501" t="s">
        <v>1901</v>
      </c>
      <c r="B24" s="2504">
        <v>0</v>
      </c>
      <c r="C24" s="2505"/>
      <c r="D24" s="2504">
        <v>43988.662298000003</v>
      </c>
      <c r="E24" s="2504">
        <v>0</v>
      </c>
      <c r="F24" s="2507">
        <f t="shared" si="0"/>
        <v>43988.662298000003</v>
      </c>
    </row>
    <row r="25" spans="1:6" ht="18.75">
      <c r="A25" s="2501" t="s">
        <v>1902</v>
      </c>
      <c r="B25" s="2504">
        <v>1032152.928098</v>
      </c>
      <c r="C25" s="2505"/>
      <c r="D25" s="2504">
        <v>5010.6465699999999</v>
      </c>
      <c r="E25" s="2504">
        <v>0</v>
      </c>
      <c r="F25" s="2507">
        <f t="shared" si="0"/>
        <v>1037163.574668</v>
      </c>
    </row>
    <row r="26" spans="1:6" ht="18.75">
      <c r="A26" s="2501" t="s">
        <v>1903</v>
      </c>
      <c r="B26" s="2504">
        <v>1797.5650000000001</v>
      </c>
      <c r="C26" s="2505"/>
      <c r="D26" s="2504">
        <v>30646.584102000001</v>
      </c>
      <c r="E26" s="2504">
        <v>0</v>
      </c>
      <c r="F26" s="2507">
        <f t="shared" si="0"/>
        <v>32444.149101999999</v>
      </c>
    </row>
    <row r="27" spans="1:6" ht="18.75">
      <c r="A27" s="2501" t="s">
        <v>1904</v>
      </c>
      <c r="B27" s="2504">
        <v>69089.504780999996</v>
      </c>
      <c r="C27" s="2505"/>
      <c r="D27" s="2504">
        <v>107994.87771299999</v>
      </c>
      <c r="E27" s="2504">
        <v>0</v>
      </c>
      <c r="F27" s="2507">
        <f t="shared" si="0"/>
        <v>177084.38249399999</v>
      </c>
    </row>
    <row r="28" spans="1:6" ht="18.75">
      <c r="A28" s="2501" t="s">
        <v>1905</v>
      </c>
      <c r="B28" s="2504">
        <v>0</v>
      </c>
      <c r="C28" s="2504"/>
      <c r="D28" s="2504">
        <v>0</v>
      </c>
      <c r="E28" s="2504">
        <v>0</v>
      </c>
      <c r="F28" s="2507">
        <f t="shared" si="0"/>
        <v>0</v>
      </c>
    </row>
    <row r="29" spans="1:6" ht="18.75">
      <c r="A29" s="2501" t="s">
        <v>1906</v>
      </c>
      <c r="B29" s="2504">
        <v>0</v>
      </c>
      <c r="C29" s="2504"/>
      <c r="D29" s="2504">
        <v>0</v>
      </c>
      <c r="E29" s="2504">
        <v>0</v>
      </c>
      <c r="F29" s="2507">
        <f t="shared" si="0"/>
        <v>0</v>
      </c>
    </row>
    <row r="30" spans="1:6" ht="18.75">
      <c r="A30" s="2501" t="s">
        <v>1907</v>
      </c>
      <c r="B30" s="2504">
        <v>30166.759163999999</v>
      </c>
      <c r="C30" s="2504"/>
      <c r="D30" s="2504">
        <v>3980530.8235809999</v>
      </c>
      <c r="E30" s="2504">
        <v>0</v>
      </c>
      <c r="F30" s="2507">
        <f t="shared" si="0"/>
        <v>4010697.5827449998</v>
      </c>
    </row>
    <row r="31" spans="1:6" ht="18.75">
      <c r="A31" s="2501" t="s">
        <v>1908</v>
      </c>
      <c r="B31" s="2504">
        <v>5400</v>
      </c>
      <c r="C31" s="2504"/>
      <c r="D31" s="2504">
        <v>3958.4938689999999</v>
      </c>
      <c r="E31" s="2504">
        <v>0</v>
      </c>
      <c r="F31" s="2507">
        <f t="shared" si="0"/>
        <v>9358.4938689999999</v>
      </c>
    </row>
    <row r="32" spans="1:6" ht="18.75">
      <c r="A32" s="2501" t="s">
        <v>1909</v>
      </c>
      <c r="B32" s="2504">
        <v>481520.87185300002</v>
      </c>
      <c r="C32" s="2504">
        <v>13881972.532401999</v>
      </c>
      <c r="D32" s="2504">
        <v>3666312</v>
      </c>
      <c r="E32" s="2504">
        <v>2075959.2918400001</v>
      </c>
      <c r="F32" s="2507">
        <f t="shared" si="0"/>
        <v>20105764.696094997</v>
      </c>
    </row>
    <row r="33" spans="1:6" ht="19.5" thickBot="1">
      <c r="A33" s="2506" t="s">
        <v>49</v>
      </c>
      <c r="B33" s="2508">
        <f>SUM(B4:B32)</f>
        <v>2946058.3128149998</v>
      </c>
      <c r="C33" s="2508">
        <f>SUM(C4:C32)</f>
        <v>13881972.532401999</v>
      </c>
      <c r="D33" s="2508">
        <v>8896091.205887001</v>
      </c>
      <c r="E33" s="2508">
        <f>SUM(E4:E32)</f>
        <v>10400644.83058</v>
      </c>
      <c r="F33" s="2509">
        <f>SUM(F4:F32)</f>
        <v>36124766.881683998</v>
      </c>
    </row>
    <row r="34" spans="1:6" ht="17.25">
      <c r="A34" s="1718"/>
      <c r="B34" s="1718"/>
      <c r="C34" s="1718"/>
      <c r="D34" s="1718"/>
      <c r="E34" s="1718"/>
      <c r="F34" s="1718"/>
    </row>
  </sheetData>
  <mergeCells count="2">
    <mergeCell ref="A1:F1"/>
    <mergeCell ref="A2:F2"/>
  </mergeCells>
  <pageMargins left="0.25" right="0.25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0000"/>
    <pageSetUpPr fitToPage="1"/>
  </sheetPr>
  <dimension ref="A1:S81"/>
  <sheetViews>
    <sheetView rightToLeft="1" zoomScale="80" zoomScaleNormal="80" workbookViewId="0">
      <selection sqref="A1:J32"/>
    </sheetView>
  </sheetViews>
  <sheetFormatPr defaultColWidth="7" defaultRowHeight="15.75"/>
  <cols>
    <col min="1" max="1" width="5.125" style="1204" bestFit="1" customWidth="1"/>
    <col min="2" max="2" width="31" style="1204" bestFit="1" customWidth="1"/>
    <col min="3" max="3" width="14.375" style="1204" bestFit="1" customWidth="1"/>
    <col min="4" max="4" width="13" style="1204" bestFit="1" customWidth="1"/>
    <col min="5" max="5" width="11.75" style="1204" bestFit="1" customWidth="1"/>
    <col min="6" max="6" width="9.75" style="1204" bestFit="1" customWidth="1"/>
    <col min="7" max="7" width="15.125" style="1204" customWidth="1"/>
    <col min="8" max="8" width="9.375" style="1204" bestFit="1" customWidth="1"/>
    <col min="9" max="9" width="13" style="1204" bestFit="1" customWidth="1"/>
    <col min="10" max="10" width="14.375" style="1204" bestFit="1" customWidth="1"/>
    <col min="11" max="11" width="11.875" style="1204" customWidth="1"/>
    <col min="12" max="12" width="7" style="1204" customWidth="1"/>
    <col min="13" max="13" width="10.875" style="1204" bestFit="1" customWidth="1"/>
    <col min="14" max="16" width="7" style="1204"/>
    <col min="17" max="17" width="11.375" style="1204" customWidth="1"/>
    <col min="18" max="16384" width="7" style="1204"/>
  </cols>
  <sheetData>
    <row r="1" spans="1:13" ht="24">
      <c r="A1" s="3556" t="s">
        <v>1772</v>
      </c>
      <c r="B1" s="3557"/>
      <c r="C1" s="3557"/>
      <c r="D1" s="3557"/>
      <c r="E1" s="3557"/>
      <c r="F1" s="3557"/>
      <c r="G1" s="3557"/>
      <c r="H1" s="3557"/>
      <c r="I1" s="3557"/>
      <c r="J1" s="3558"/>
    </row>
    <row r="2" spans="1:13" ht="21">
      <c r="A2" s="1594"/>
      <c r="B2" s="1595"/>
      <c r="C2" s="1595"/>
      <c r="D2" s="1595"/>
      <c r="E2" s="1595"/>
      <c r="F2" s="1595"/>
      <c r="G2" s="3553"/>
      <c r="H2" s="3553"/>
      <c r="I2" s="3553" t="s">
        <v>1773</v>
      </c>
      <c r="J2" s="3554"/>
    </row>
    <row r="3" spans="1:13" ht="33.75" customHeight="1">
      <c r="A3" s="1596" t="s">
        <v>795</v>
      </c>
      <c r="B3" s="1597" t="s">
        <v>1774</v>
      </c>
      <c r="C3" s="1597" t="s">
        <v>1775</v>
      </c>
      <c r="D3" s="1597" t="s">
        <v>1776</v>
      </c>
      <c r="E3" s="1597" t="s">
        <v>1777</v>
      </c>
      <c r="F3" s="1597" t="s">
        <v>1778</v>
      </c>
      <c r="G3" s="1598" t="s">
        <v>1779</v>
      </c>
      <c r="H3" s="1597" t="s">
        <v>1780</v>
      </c>
      <c r="I3" s="1597" t="s">
        <v>1781</v>
      </c>
      <c r="J3" s="1599" t="s">
        <v>281</v>
      </c>
    </row>
    <row r="4" spans="1:13" ht="24.75">
      <c r="A4" s="1600">
        <v>1</v>
      </c>
      <c r="B4" s="1601" t="s">
        <v>1782</v>
      </c>
      <c r="C4" s="1602">
        <v>1707502526659</v>
      </c>
      <c r="D4" s="1602">
        <v>119127718679</v>
      </c>
      <c r="E4" s="1602">
        <v>1307591958</v>
      </c>
      <c r="F4" s="1602">
        <v>3288145224</v>
      </c>
      <c r="G4" s="1602">
        <f>SUM(C4:F4)</f>
        <v>1831225982520</v>
      </c>
      <c r="H4" s="1603">
        <f>G4/152630727</f>
        <v>11997.754439838316</v>
      </c>
      <c r="I4" s="1602">
        <v>1432140667149</v>
      </c>
      <c r="J4" s="1604">
        <f>I4+G4</f>
        <v>3263366649669</v>
      </c>
      <c r="K4" s="1605"/>
      <c r="L4" s="1606"/>
      <c r="M4" s="1607"/>
    </row>
    <row r="5" spans="1:13" ht="24.75">
      <c r="A5" s="1600">
        <v>2</v>
      </c>
      <c r="B5" s="1601" t="s">
        <v>1783</v>
      </c>
      <c r="C5" s="1602">
        <v>4494650934054</v>
      </c>
      <c r="D5" s="1602">
        <v>468757025616</v>
      </c>
      <c r="E5" s="1602">
        <v>41177184025</v>
      </c>
      <c r="F5" s="1602">
        <v>29060523854</v>
      </c>
      <c r="G5" s="1602">
        <f t="shared" ref="G5:G29" si="0">SUM(C5:F5)</f>
        <v>5033645667549</v>
      </c>
      <c r="H5" s="1603">
        <f t="shared" ref="H5:H29" si="1">G5/152630727</f>
        <v>32979.241902903341</v>
      </c>
      <c r="I5" s="1602">
        <v>461909950131</v>
      </c>
      <c r="J5" s="1604">
        <f t="shared" ref="J5:J29" si="2">I5+G5</f>
        <v>5495555617680</v>
      </c>
      <c r="K5" s="1605"/>
      <c r="L5" s="1606"/>
      <c r="M5" s="1607"/>
    </row>
    <row r="6" spans="1:13" ht="24.75">
      <c r="A6" s="1600">
        <v>3</v>
      </c>
      <c r="B6" s="1601" t="s">
        <v>1784</v>
      </c>
      <c r="C6" s="1602">
        <v>279264173569</v>
      </c>
      <c r="D6" s="1602">
        <v>143126830883</v>
      </c>
      <c r="E6" s="1602">
        <v>1097140000</v>
      </c>
      <c r="F6" s="1602">
        <v>4042760522</v>
      </c>
      <c r="G6" s="1602">
        <f t="shared" si="0"/>
        <v>427530904974</v>
      </c>
      <c r="H6" s="1608">
        <f t="shared" si="1"/>
        <v>2801.0801846865343</v>
      </c>
      <c r="I6" s="1602">
        <v>5114957676</v>
      </c>
      <c r="J6" s="1604">
        <f t="shared" si="2"/>
        <v>432645862650</v>
      </c>
      <c r="K6" s="1605"/>
      <c r="L6" s="1606"/>
      <c r="M6" s="1607"/>
    </row>
    <row r="7" spans="1:13" ht="24.75">
      <c r="A7" s="1600">
        <v>4</v>
      </c>
      <c r="B7" s="1601" t="s">
        <v>1785</v>
      </c>
      <c r="C7" s="1602">
        <v>3634822403207</v>
      </c>
      <c r="D7" s="1602">
        <v>359820411911</v>
      </c>
      <c r="E7" s="1602">
        <v>32052213453</v>
      </c>
      <c r="F7" s="1602">
        <v>18705716700</v>
      </c>
      <c r="G7" s="1602">
        <f t="shared" si="0"/>
        <v>4045400745271</v>
      </c>
      <c r="H7" s="1603">
        <f t="shared" si="1"/>
        <v>26504.497651190512</v>
      </c>
      <c r="I7" s="1602">
        <v>404733354023</v>
      </c>
      <c r="J7" s="1604">
        <f t="shared" si="2"/>
        <v>4450134099294</v>
      </c>
      <c r="K7" s="1605"/>
      <c r="L7" s="1606"/>
      <c r="M7" s="1607"/>
    </row>
    <row r="8" spans="1:13" ht="24.75">
      <c r="A8" s="1600">
        <v>5</v>
      </c>
      <c r="B8" s="1601" t="s">
        <v>1786</v>
      </c>
      <c r="C8" s="1602">
        <v>653791569471</v>
      </c>
      <c r="D8" s="1602">
        <v>96715359624</v>
      </c>
      <c r="E8" s="1602">
        <v>1513536709</v>
      </c>
      <c r="F8" s="1602">
        <v>6151518027</v>
      </c>
      <c r="G8" s="1602">
        <f t="shared" si="0"/>
        <v>758171983831</v>
      </c>
      <c r="H8" s="1608">
        <f t="shared" si="1"/>
        <v>4967.3614136097249</v>
      </c>
      <c r="I8" s="1602">
        <v>48687012398</v>
      </c>
      <c r="J8" s="1604">
        <f t="shared" si="2"/>
        <v>806858996229</v>
      </c>
      <c r="K8" s="1605"/>
      <c r="L8" s="1606"/>
      <c r="M8" s="1607"/>
    </row>
    <row r="9" spans="1:13" ht="24.75">
      <c r="A9" s="1600">
        <v>6</v>
      </c>
      <c r="B9" s="1601" t="s">
        <v>1787</v>
      </c>
      <c r="C9" s="1602">
        <v>30650397123944</v>
      </c>
      <c r="D9" s="1602">
        <v>578259101970</v>
      </c>
      <c r="E9" s="1602">
        <v>2621944599</v>
      </c>
      <c r="F9" s="1602">
        <v>50155435439</v>
      </c>
      <c r="G9" s="1602">
        <f t="shared" si="0"/>
        <v>31281433605952</v>
      </c>
      <c r="H9" s="1603">
        <f t="shared" si="1"/>
        <v>204948.46759101134</v>
      </c>
      <c r="I9" s="1602">
        <v>1816018294840</v>
      </c>
      <c r="J9" s="1604">
        <f t="shared" si="2"/>
        <v>33097451900792</v>
      </c>
      <c r="K9" s="1605"/>
      <c r="L9" s="1606"/>
      <c r="M9" s="1607"/>
    </row>
    <row r="10" spans="1:13" ht="24.75">
      <c r="A10" s="1600">
        <v>7</v>
      </c>
      <c r="B10" s="1601" t="s">
        <v>1788</v>
      </c>
      <c r="C10" s="1602">
        <v>1643049160275</v>
      </c>
      <c r="D10" s="1602">
        <v>164911001067</v>
      </c>
      <c r="E10" s="1602">
        <v>45410905627</v>
      </c>
      <c r="F10" s="1602">
        <v>5578720083</v>
      </c>
      <c r="G10" s="1602">
        <f t="shared" si="0"/>
        <v>1858949787052</v>
      </c>
      <c r="H10" s="1603">
        <f t="shared" si="1"/>
        <v>12179.394173048786</v>
      </c>
      <c r="I10" s="1602">
        <v>186823722174</v>
      </c>
      <c r="J10" s="1604">
        <f t="shared" si="2"/>
        <v>2045773509226</v>
      </c>
      <c r="K10" s="1605"/>
      <c r="L10" s="1606"/>
      <c r="M10" s="1607"/>
    </row>
    <row r="11" spans="1:13" ht="24.75">
      <c r="A11" s="1600">
        <v>8</v>
      </c>
      <c r="B11" s="1601" t="s">
        <v>1789</v>
      </c>
      <c r="C11" s="1602">
        <v>6687810848723</v>
      </c>
      <c r="D11" s="1602">
        <v>764017508241</v>
      </c>
      <c r="E11" s="1602">
        <v>69117363789</v>
      </c>
      <c r="F11" s="1602">
        <v>83833176769</v>
      </c>
      <c r="G11" s="1602">
        <f t="shared" si="0"/>
        <v>7604778897522</v>
      </c>
      <c r="H11" s="1603">
        <f t="shared" si="1"/>
        <v>49824.691574207071</v>
      </c>
      <c r="I11" s="1602">
        <v>719699388072</v>
      </c>
      <c r="J11" s="1604">
        <f t="shared" si="2"/>
        <v>8324478285594</v>
      </c>
      <c r="K11" s="1605"/>
      <c r="L11" s="1606"/>
      <c r="M11" s="1607"/>
    </row>
    <row r="12" spans="1:13" ht="24.75">
      <c r="A12" s="1600">
        <v>9</v>
      </c>
      <c r="B12" s="1601" t="s">
        <v>1790</v>
      </c>
      <c r="C12" s="1602">
        <v>1536390383981</v>
      </c>
      <c r="D12" s="1602">
        <v>181502310055</v>
      </c>
      <c r="E12" s="1602">
        <v>53461772624</v>
      </c>
      <c r="F12" s="1602">
        <v>7634439310</v>
      </c>
      <c r="G12" s="1602">
        <f t="shared" si="0"/>
        <v>1778988905970</v>
      </c>
      <c r="H12" s="1603">
        <f t="shared" si="1"/>
        <v>11655.509614194525</v>
      </c>
      <c r="I12" s="1602">
        <v>156196190551</v>
      </c>
      <c r="J12" s="1604">
        <f t="shared" si="2"/>
        <v>1935185096521</v>
      </c>
      <c r="K12" s="1605"/>
      <c r="L12" s="1606"/>
      <c r="M12" s="1607"/>
    </row>
    <row r="13" spans="1:13" ht="24.75">
      <c r="A13" s="1600">
        <v>10</v>
      </c>
      <c r="B13" s="1601" t="s">
        <v>1791</v>
      </c>
      <c r="C13" s="1602">
        <v>4064022096914</v>
      </c>
      <c r="D13" s="1602">
        <v>437979798858</v>
      </c>
      <c r="E13" s="1602">
        <v>39653553120</v>
      </c>
      <c r="F13" s="1602">
        <v>15479583571</v>
      </c>
      <c r="G13" s="1602">
        <f t="shared" si="0"/>
        <v>4557135032463</v>
      </c>
      <c r="H13" s="1603">
        <f t="shared" si="1"/>
        <v>29857.258246978014</v>
      </c>
      <c r="I13" s="1602">
        <v>409925673949</v>
      </c>
      <c r="J13" s="1604">
        <f t="shared" si="2"/>
        <v>4967060706412</v>
      </c>
      <c r="K13" s="1605"/>
      <c r="L13" s="1606"/>
      <c r="M13" s="1607"/>
    </row>
    <row r="14" spans="1:13" ht="24.75">
      <c r="A14" s="1600">
        <v>11</v>
      </c>
      <c r="B14" s="1601" t="s">
        <v>1792</v>
      </c>
      <c r="C14" s="1602">
        <v>2633481340734</v>
      </c>
      <c r="D14" s="1602">
        <v>294242587737</v>
      </c>
      <c r="E14" s="1602">
        <v>37368432208</v>
      </c>
      <c r="F14" s="1602">
        <v>16409040923</v>
      </c>
      <c r="G14" s="1602">
        <f t="shared" si="0"/>
        <v>2981501401602</v>
      </c>
      <c r="H14" s="1603">
        <f t="shared" si="1"/>
        <v>19534.083734017724</v>
      </c>
      <c r="I14" s="1602">
        <v>348782768009</v>
      </c>
      <c r="J14" s="1604">
        <f t="shared" si="2"/>
        <v>3330284169611</v>
      </c>
      <c r="K14" s="1605"/>
      <c r="L14" s="1606"/>
      <c r="M14" s="1607"/>
    </row>
    <row r="15" spans="1:13" ht="24.75">
      <c r="A15" s="1600">
        <v>12</v>
      </c>
      <c r="B15" s="1601" t="s">
        <v>1793</v>
      </c>
      <c r="C15" s="1602">
        <v>3100168560362</v>
      </c>
      <c r="D15" s="1602">
        <v>389341507604</v>
      </c>
      <c r="E15" s="1602">
        <v>42784211576</v>
      </c>
      <c r="F15" s="1602">
        <v>8499132631</v>
      </c>
      <c r="G15" s="1602">
        <f t="shared" si="0"/>
        <v>3540793412173</v>
      </c>
      <c r="H15" s="1603">
        <f t="shared" si="1"/>
        <v>23198.431153204165</v>
      </c>
      <c r="I15" s="1602">
        <v>436382395908</v>
      </c>
      <c r="J15" s="1604">
        <f t="shared" si="2"/>
        <v>3977175808081</v>
      </c>
      <c r="K15" s="1605"/>
      <c r="L15" s="1606"/>
      <c r="M15" s="1607"/>
    </row>
    <row r="16" spans="1:13" ht="24.75">
      <c r="A16" s="1600">
        <v>13</v>
      </c>
      <c r="B16" s="1601" t="s">
        <v>1794</v>
      </c>
      <c r="C16" s="1602">
        <v>3665832721495</v>
      </c>
      <c r="D16" s="1602">
        <v>426065373644</v>
      </c>
      <c r="E16" s="1602">
        <v>61291933805</v>
      </c>
      <c r="F16" s="1602">
        <v>13757332472</v>
      </c>
      <c r="G16" s="1602">
        <f t="shared" si="0"/>
        <v>4166947361416</v>
      </c>
      <c r="H16" s="1603">
        <f t="shared" si="1"/>
        <v>27300.84199504599</v>
      </c>
      <c r="I16" s="1602">
        <v>562785649293</v>
      </c>
      <c r="J16" s="1604">
        <f t="shared" si="2"/>
        <v>4729733010709</v>
      </c>
      <c r="K16" s="1605"/>
      <c r="L16" s="1606"/>
      <c r="M16" s="1607"/>
    </row>
    <row r="17" spans="1:13" ht="24.75">
      <c r="A17" s="1600">
        <v>14</v>
      </c>
      <c r="B17" s="1601" t="s">
        <v>1795</v>
      </c>
      <c r="C17" s="1602">
        <v>9369933572806</v>
      </c>
      <c r="D17" s="1602">
        <v>708163573090</v>
      </c>
      <c r="E17" s="1602">
        <v>60173333126</v>
      </c>
      <c r="F17" s="1602">
        <v>27465941491</v>
      </c>
      <c r="G17" s="1602">
        <f t="shared" si="0"/>
        <v>10165736420513</v>
      </c>
      <c r="H17" s="1603">
        <f t="shared" si="1"/>
        <v>66603.472448329485</v>
      </c>
      <c r="I17" s="1602">
        <v>1239243431502</v>
      </c>
      <c r="J17" s="1604">
        <f t="shared" si="2"/>
        <v>11404979852015</v>
      </c>
      <c r="K17" s="1605"/>
      <c r="L17" s="1606"/>
      <c r="M17" s="1607"/>
    </row>
    <row r="18" spans="1:13" ht="24.75">
      <c r="A18" s="1600">
        <v>15</v>
      </c>
      <c r="B18" s="1601" t="s">
        <v>1796</v>
      </c>
      <c r="C18" s="1602">
        <v>3084330114643</v>
      </c>
      <c r="D18" s="1602">
        <v>193401030913</v>
      </c>
      <c r="E18" s="1602">
        <v>12332941199</v>
      </c>
      <c r="F18" s="1602">
        <v>7083867407</v>
      </c>
      <c r="G18" s="1602">
        <f t="shared" si="0"/>
        <v>3297147954162</v>
      </c>
      <c r="H18" s="1603">
        <f t="shared" si="1"/>
        <v>21602.12441471238</v>
      </c>
      <c r="I18" s="1602">
        <v>237414341719</v>
      </c>
      <c r="J18" s="1604">
        <f t="shared" si="2"/>
        <v>3534562295881</v>
      </c>
      <c r="K18" s="1605"/>
      <c r="L18" s="1606"/>
      <c r="M18" s="1607"/>
    </row>
    <row r="19" spans="1:13" ht="24.75">
      <c r="A19" s="1600">
        <v>16</v>
      </c>
      <c r="B19" s="1601" t="s">
        <v>1797</v>
      </c>
      <c r="C19" s="1602">
        <v>6000614668326</v>
      </c>
      <c r="D19" s="1602">
        <v>498297386949</v>
      </c>
      <c r="E19" s="1602">
        <v>69629712762</v>
      </c>
      <c r="F19" s="1602">
        <v>16151743935</v>
      </c>
      <c r="G19" s="1602">
        <f t="shared" si="0"/>
        <v>6584693511972</v>
      </c>
      <c r="H19" s="1603">
        <f t="shared" si="1"/>
        <v>43141.336226302585</v>
      </c>
      <c r="I19" s="1602">
        <v>712089699936</v>
      </c>
      <c r="J19" s="1604">
        <f t="shared" si="2"/>
        <v>7296783211908</v>
      </c>
      <c r="K19" s="1605"/>
      <c r="L19" s="1606"/>
      <c r="M19" s="1607"/>
    </row>
    <row r="20" spans="1:13" ht="24.75">
      <c r="A20" s="1600">
        <v>17</v>
      </c>
      <c r="B20" s="1601" t="s">
        <v>1798</v>
      </c>
      <c r="C20" s="1602">
        <v>5841972005122</v>
      </c>
      <c r="D20" s="1602">
        <v>204644952607</v>
      </c>
      <c r="E20" s="1602">
        <v>45387523117</v>
      </c>
      <c r="F20" s="1602">
        <v>15796603800</v>
      </c>
      <c r="G20" s="1602">
        <f t="shared" si="0"/>
        <v>6107801084646</v>
      </c>
      <c r="H20" s="1603">
        <f t="shared" si="1"/>
        <v>40016.851158980593</v>
      </c>
      <c r="I20" s="1602">
        <v>375155430717</v>
      </c>
      <c r="J20" s="1604">
        <f t="shared" si="2"/>
        <v>6482956515363</v>
      </c>
      <c r="K20" s="1605"/>
      <c r="L20" s="1606"/>
      <c r="M20" s="1607"/>
    </row>
    <row r="21" spans="1:13" ht="24.75">
      <c r="A21" s="1600">
        <v>18</v>
      </c>
      <c r="B21" s="1601" t="s">
        <v>1799</v>
      </c>
      <c r="C21" s="1602">
        <v>2270264766648</v>
      </c>
      <c r="D21" s="1602">
        <v>184921223127</v>
      </c>
      <c r="E21" s="1602">
        <v>17631015585</v>
      </c>
      <c r="F21" s="1602">
        <v>22040628744</v>
      </c>
      <c r="G21" s="1602">
        <f t="shared" si="0"/>
        <v>2494857634104</v>
      </c>
      <c r="H21" s="1603">
        <f t="shared" si="1"/>
        <v>16345.710219305973</v>
      </c>
      <c r="I21" s="1602">
        <v>69451169166</v>
      </c>
      <c r="J21" s="1604">
        <f t="shared" si="2"/>
        <v>2564308803270</v>
      </c>
      <c r="K21" s="1605"/>
      <c r="L21" s="1606"/>
      <c r="M21" s="1607"/>
    </row>
    <row r="22" spans="1:13" ht="24.75">
      <c r="A22" s="1600">
        <v>19</v>
      </c>
      <c r="B22" s="1601" t="s">
        <v>1800</v>
      </c>
      <c r="C22" s="1602">
        <v>7946902040259</v>
      </c>
      <c r="D22" s="1602">
        <v>1028192783455</v>
      </c>
      <c r="E22" s="1602">
        <v>78324384829</v>
      </c>
      <c r="F22" s="1602">
        <v>29198441759</v>
      </c>
      <c r="G22" s="1602">
        <f t="shared" si="0"/>
        <v>9082617650302</v>
      </c>
      <c r="H22" s="1603">
        <f t="shared" si="1"/>
        <v>59507.137447507535</v>
      </c>
      <c r="I22" s="1602">
        <v>721175285301</v>
      </c>
      <c r="J22" s="1604">
        <f t="shared" si="2"/>
        <v>9803792935603</v>
      </c>
      <c r="K22" s="1605"/>
      <c r="L22" s="1606"/>
      <c r="M22" s="1607"/>
    </row>
    <row r="23" spans="1:13" ht="24.75">
      <c r="A23" s="1600">
        <v>20</v>
      </c>
      <c r="B23" s="1601" t="s">
        <v>1801</v>
      </c>
      <c r="C23" s="1602">
        <v>7258877947734</v>
      </c>
      <c r="D23" s="1602">
        <v>572430271544</v>
      </c>
      <c r="E23" s="1602">
        <v>77732931781</v>
      </c>
      <c r="F23" s="1602">
        <v>44953527984</v>
      </c>
      <c r="G23" s="1602">
        <f t="shared" si="0"/>
        <v>7953994679043</v>
      </c>
      <c r="H23" s="1603">
        <f t="shared" si="1"/>
        <v>52112.669810208004</v>
      </c>
      <c r="I23" s="1602">
        <v>535308421403</v>
      </c>
      <c r="J23" s="1604">
        <f t="shared" si="2"/>
        <v>8489303100446</v>
      </c>
      <c r="K23" s="1605"/>
      <c r="L23" s="1606"/>
      <c r="M23" s="1607"/>
    </row>
    <row r="24" spans="1:13" ht="24.75">
      <c r="A24" s="1600">
        <v>21</v>
      </c>
      <c r="B24" s="1601" t="s">
        <v>1802</v>
      </c>
      <c r="C24" s="1602">
        <v>1635316268542</v>
      </c>
      <c r="D24" s="1602">
        <v>242935959792</v>
      </c>
      <c r="E24" s="1602">
        <v>2823483900</v>
      </c>
      <c r="F24" s="1602">
        <v>19996491288</v>
      </c>
      <c r="G24" s="1602">
        <f t="shared" si="0"/>
        <v>1901072203522</v>
      </c>
      <c r="H24" s="1603">
        <f t="shared" si="1"/>
        <v>12455.370166205132</v>
      </c>
      <c r="I24" s="1602">
        <v>212723629519</v>
      </c>
      <c r="J24" s="1604">
        <f t="shared" si="2"/>
        <v>2113795833041</v>
      </c>
      <c r="K24" s="1605"/>
      <c r="L24" s="1606"/>
      <c r="M24" s="1607"/>
    </row>
    <row r="25" spans="1:13" ht="24.75">
      <c r="A25" s="1600">
        <v>22</v>
      </c>
      <c r="B25" s="1601" t="s">
        <v>1803</v>
      </c>
      <c r="C25" s="1602">
        <v>3286917871361</v>
      </c>
      <c r="D25" s="1602">
        <v>190144093575</v>
      </c>
      <c r="E25" s="1602">
        <v>16718277454</v>
      </c>
      <c r="F25" s="1602">
        <v>10648104952</v>
      </c>
      <c r="G25" s="1602">
        <f t="shared" si="0"/>
        <v>3504428347342</v>
      </c>
      <c r="H25" s="1603">
        <f t="shared" si="1"/>
        <v>22960.175950298657</v>
      </c>
      <c r="I25" s="1602">
        <v>526068755313</v>
      </c>
      <c r="J25" s="1604">
        <f t="shared" si="2"/>
        <v>4030497102655</v>
      </c>
      <c r="K25" s="1605"/>
      <c r="L25" s="1606"/>
      <c r="M25" s="1607"/>
    </row>
    <row r="26" spans="1:13" ht="24.75">
      <c r="A26" s="1600">
        <v>23</v>
      </c>
      <c r="B26" s="1601" t="s">
        <v>1804</v>
      </c>
      <c r="C26" s="1602">
        <v>219100640024</v>
      </c>
      <c r="D26" s="1602">
        <v>128100752835</v>
      </c>
      <c r="E26" s="1602">
        <v>2910000000</v>
      </c>
      <c r="F26" s="1602">
        <v>8689917832</v>
      </c>
      <c r="G26" s="1602">
        <f t="shared" si="0"/>
        <v>358801310691</v>
      </c>
      <c r="H26" s="1608">
        <f t="shared" si="1"/>
        <v>2350.7803293828247</v>
      </c>
      <c r="I26" s="1602">
        <v>175863134244</v>
      </c>
      <c r="J26" s="1604">
        <f t="shared" si="2"/>
        <v>534664444935</v>
      </c>
      <c r="K26" s="1605"/>
      <c r="L26" s="1606"/>
      <c r="M26" s="1607"/>
    </row>
    <row r="27" spans="1:13" ht="24.75">
      <c r="A27" s="1600">
        <v>24</v>
      </c>
      <c r="B27" s="1601" t="s">
        <v>1805</v>
      </c>
      <c r="C27" s="1602">
        <v>15397345616816</v>
      </c>
      <c r="D27" s="1602">
        <f>3990232379459-118843964134</f>
        <v>3871388415325</v>
      </c>
      <c r="E27" s="1602">
        <v>1284531113965</v>
      </c>
      <c r="F27" s="1602">
        <v>169322449361</v>
      </c>
      <c r="G27" s="1602">
        <f t="shared" si="0"/>
        <v>20722587595467</v>
      </c>
      <c r="H27" s="1603">
        <f t="shared" si="1"/>
        <v>135769.43517714491</v>
      </c>
      <c r="I27" s="1602">
        <v>447903359371</v>
      </c>
      <c r="J27" s="1604">
        <f t="shared" si="2"/>
        <v>21170490954838</v>
      </c>
      <c r="K27" s="1605"/>
      <c r="L27" s="1606"/>
      <c r="M27" s="1607"/>
    </row>
    <row r="28" spans="1:13" ht="24.75">
      <c r="A28" s="1600">
        <v>25</v>
      </c>
      <c r="B28" s="1601" t="s">
        <v>1806</v>
      </c>
      <c r="C28" s="1602">
        <v>6540750983921</v>
      </c>
      <c r="D28" s="1602">
        <v>548936023785</v>
      </c>
      <c r="E28" s="1602">
        <v>81185471967</v>
      </c>
      <c r="F28" s="1602">
        <v>18319677148</v>
      </c>
      <c r="G28" s="1602">
        <f t="shared" si="0"/>
        <v>7189192156821</v>
      </c>
      <c r="H28" s="1603">
        <f t="shared" si="1"/>
        <v>47101.866695694895</v>
      </c>
      <c r="I28" s="1602">
        <v>465822108056</v>
      </c>
      <c r="J28" s="1604">
        <f t="shared" si="2"/>
        <v>7655014264877</v>
      </c>
      <c r="K28" s="1605"/>
      <c r="L28" s="1606"/>
      <c r="M28" s="1607"/>
    </row>
    <row r="29" spans="1:13" ht="24.75">
      <c r="A29" s="1600">
        <v>26</v>
      </c>
      <c r="B29" s="1601" t="s">
        <v>1807</v>
      </c>
      <c r="C29" s="1602">
        <v>3171345876909</v>
      </c>
      <c r="D29" s="1602">
        <v>182956568783</v>
      </c>
      <c r="E29" s="1602">
        <v>19650242254</v>
      </c>
      <c r="F29" s="1602">
        <v>27340553127</v>
      </c>
      <c r="G29" s="1602">
        <f t="shared" si="0"/>
        <v>3401293241073</v>
      </c>
      <c r="H29" s="1603">
        <f t="shared" si="1"/>
        <v>22284.459413424665</v>
      </c>
      <c r="I29" s="1602">
        <v>603645104248</v>
      </c>
      <c r="J29" s="1604">
        <f t="shared" si="2"/>
        <v>4004938345321</v>
      </c>
      <c r="K29" s="1605"/>
      <c r="L29" s="1606"/>
      <c r="M29" s="1607"/>
    </row>
    <row r="30" spans="1:13" ht="25.5" thickBot="1">
      <c r="A30" s="1609"/>
      <c r="B30" s="1610" t="s">
        <v>281</v>
      </c>
      <c r="C30" s="1611">
        <f t="shared" ref="C30:J30" si="3">SUM(C4:C29)</f>
        <v>136774856216499</v>
      </c>
      <c r="D30" s="1611">
        <f t="shared" si="3"/>
        <v>12978379571669</v>
      </c>
      <c r="E30" s="1611">
        <f t="shared" si="3"/>
        <v>2197888215432</v>
      </c>
      <c r="F30" s="1611">
        <f t="shared" si="3"/>
        <v>679603474353</v>
      </c>
      <c r="G30" s="1611">
        <f t="shared" si="3"/>
        <v>152630727477953</v>
      </c>
      <c r="H30" s="1612">
        <f t="shared" si="3"/>
        <v>1000000.0031314337</v>
      </c>
      <c r="I30" s="1611">
        <f t="shared" si="3"/>
        <v>13311063894668</v>
      </c>
      <c r="J30" s="1613">
        <f t="shared" si="3"/>
        <v>165941791372621</v>
      </c>
      <c r="K30" s="1605"/>
      <c r="L30" s="1606"/>
      <c r="M30" s="1607"/>
    </row>
    <row r="31" spans="1:13">
      <c r="A31" s="3555" t="s">
        <v>1808</v>
      </c>
      <c r="B31" s="3555"/>
      <c r="C31" s="3555"/>
      <c r="D31" s="3555"/>
      <c r="E31" s="3555"/>
      <c r="F31" s="3555"/>
      <c r="G31" s="3555"/>
      <c r="H31" s="3555"/>
      <c r="I31" s="1614"/>
      <c r="J31" s="1615"/>
    </row>
    <row r="32" spans="1:13">
      <c r="A32" s="1616" t="s">
        <v>1809</v>
      </c>
      <c r="B32" s="1615"/>
      <c r="C32" s="1615"/>
      <c r="D32" s="1615"/>
      <c r="E32" s="1617"/>
      <c r="F32" s="1615"/>
      <c r="G32" s="1615"/>
      <c r="H32" s="1618"/>
      <c r="I32" s="1614"/>
      <c r="J32" s="1619"/>
    </row>
    <row r="33" spans="1:19">
      <c r="B33" s="1606"/>
      <c r="H33" s="1606"/>
    </row>
    <row r="34" spans="1:19">
      <c r="H34" s="1606"/>
    </row>
    <row r="37" spans="1:19" ht="18">
      <c r="A37" s="1313"/>
      <c r="B37" s="3552"/>
      <c r="C37" s="3552"/>
      <c r="D37" s="3552"/>
      <c r="E37" s="3552"/>
      <c r="F37" s="3552"/>
      <c r="G37" s="3552"/>
      <c r="H37" s="3552"/>
      <c r="I37" s="3552"/>
      <c r="J37" s="1620"/>
      <c r="K37" s="1313"/>
      <c r="L37" s="1313"/>
      <c r="M37" s="1313"/>
      <c r="N37" s="1313"/>
      <c r="O37" s="1313"/>
      <c r="P37" s="1313"/>
      <c r="Q37" s="1313"/>
      <c r="R37" s="1313"/>
      <c r="S37" s="1313"/>
    </row>
    <row r="38" spans="1:19" ht="18">
      <c r="B38" s="3552"/>
      <c r="C38" s="3552"/>
      <c r="D38" s="3552"/>
      <c r="E38" s="3552"/>
      <c r="F38" s="3552"/>
      <c r="G38" s="3552"/>
      <c r="H38" s="3552"/>
      <c r="I38" s="3552"/>
      <c r="J38" s="1621"/>
      <c r="K38" s="1622"/>
      <c r="L38" s="1313"/>
      <c r="M38" s="1313"/>
      <c r="N38" s="1313"/>
      <c r="O38" s="1313"/>
      <c r="P38" s="1313"/>
      <c r="Q38" s="1313"/>
      <c r="R38" s="1313"/>
      <c r="S38" s="1313"/>
    </row>
    <row r="39" spans="1:19" ht="18">
      <c r="B39" s="1623"/>
      <c r="C39" s="1313"/>
      <c r="D39" s="1313"/>
      <c r="E39" s="1313"/>
      <c r="F39" s="1313"/>
      <c r="G39" s="1313"/>
      <c r="H39" s="1313"/>
      <c r="I39" s="1313"/>
      <c r="J39" s="1624"/>
      <c r="K39" s="1625"/>
      <c r="L39" s="1626"/>
      <c r="M39" s="1627"/>
      <c r="N39" s="1627"/>
      <c r="O39" s="1627"/>
      <c r="P39" s="1627"/>
      <c r="Q39" s="1627"/>
      <c r="R39" s="1628"/>
      <c r="S39" s="1605"/>
    </row>
    <row r="40" spans="1:19" ht="18">
      <c r="B40" s="1313"/>
      <c r="C40" s="1313"/>
      <c r="D40" s="1313"/>
      <c r="E40" s="1313"/>
      <c r="F40" s="1313"/>
      <c r="G40" s="1313"/>
      <c r="H40" s="1313"/>
      <c r="I40" s="1629"/>
      <c r="J40" s="1624"/>
      <c r="K40" s="1630"/>
      <c r="L40" s="1626"/>
      <c r="M40" s="1627"/>
      <c r="N40" s="1627"/>
      <c r="O40" s="1627"/>
      <c r="P40" s="1627"/>
      <c r="Q40" s="1627"/>
      <c r="R40" s="1628"/>
      <c r="S40" s="1605"/>
    </row>
    <row r="41" spans="1:19">
      <c r="J41" s="1624"/>
      <c r="K41" s="1630"/>
      <c r="L41" s="1626"/>
      <c r="M41" s="1627"/>
      <c r="N41" s="1627"/>
      <c r="O41" s="1627"/>
      <c r="P41" s="1627"/>
      <c r="Q41" s="1627"/>
      <c r="R41" s="1628"/>
      <c r="S41" s="1605"/>
    </row>
    <row r="42" spans="1:19" ht="18">
      <c r="B42" s="1313"/>
      <c r="C42" s="1313"/>
      <c r="D42" s="1313"/>
      <c r="E42" s="1313"/>
      <c r="F42" s="1313"/>
      <c r="G42" s="1313"/>
      <c r="H42" s="1313"/>
      <c r="I42" s="1631"/>
      <c r="J42" s="1624"/>
      <c r="K42" s="1630"/>
      <c r="L42" s="1626"/>
      <c r="M42" s="1627"/>
      <c r="N42" s="1627"/>
      <c r="O42" s="1627"/>
      <c r="P42" s="1627"/>
      <c r="Q42" s="1627"/>
      <c r="R42" s="1628"/>
      <c r="S42" s="1605"/>
    </row>
    <row r="43" spans="1:19">
      <c r="J43" s="1624"/>
      <c r="K43" s="1630"/>
      <c r="L43" s="1626"/>
      <c r="M43" s="1627"/>
      <c r="N43" s="1627"/>
      <c r="O43" s="1627"/>
      <c r="P43" s="1627"/>
      <c r="Q43" s="1627"/>
      <c r="R43" s="1628"/>
      <c r="S43" s="1605"/>
    </row>
    <row r="44" spans="1:19">
      <c r="J44" s="1624"/>
      <c r="K44" s="1630"/>
      <c r="L44" s="1626"/>
      <c r="M44" s="1627"/>
      <c r="N44" s="1627"/>
      <c r="O44" s="1627"/>
      <c r="P44" s="1627"/>
      <c r="Q44" s="1627"/>
      <c r="R44" s="1628"/>
      <c r="S44" s="1605"/>
    </row>
    <row r="45" spans="1:19">
      <c r="J45" s="1624"/>
      <c r="K45" s="1630"/>
      <c r="L45" s="1626"/>
      <c r="M45" s="1627"/>
      <c r="N45" s="1627"/>
      <c r="O45" s="1627"/>
      <c r="P45" s="1627"/>
      <c r="Q45" s="1627"/>
      <c r="R45" s="1628"/>
      <c r="S45" s="1605"/>
    </row>
    <row r="46" spans="1:19" ht="18">
      <c r="B46" s="1313"/>
      <c r="C46" s="1313"/>
      <c r="D46" s="1313"/>
      <c r="E46" s="1313"/>
      <c r="F46" s="1313"/>
      <c r="G46" s="1313"/>
      <c r="H46" s="1313"/>
      <c r="I46" s="1313"/>
      <c r="J46" s="1624"/>
      <c r="K46" s="1630"/>
      <c r="L46" s="1626"/>
      <c r="M46" s="1627"/>
      <c r="N46" s="1627"/>
      <c r="O46" s="1627"/>
      <c r="P46" s="1627"/>
      <c r="Q46" s="1627"/>
      <c r="R46" s="1628"/>
      <c r="S46" s="1605"/>
    </row>
    <row r="47" spans="1:19" ht="18">
      <c r="B47" s="1313"/>
      <c r="C47" s="1313"/>
      <c r="D47" s="1313"/>
      <c r="E47" s="1313"/>
      <c r="F47" s="1313"/>
      <c r="G47" s="1313"/>
      <c r="H47" s="1313"/>
      <c r="I47" s="1313"/>
      <c r="J47" s="1624"/>
      <c r="K47" s="1630"/>
      <c r="L47" s="1626"/>
      <c r="M47" s="1627"/>
      <c r="N47" s="1627"/>
      <c r="O47" s="1627"/>
      <c r="P47" s="1627"/>
      <c r="Q47" s="1627"/>
      <c r="R47" s="1628"/>
      <c r="S47" s="1605"/>
    </row>
    <row r="48" spans="1:19" ht="18">
      <c r="B48" s="1313"/>
      <c r="C48" s="1313"/>
      <c r="D48" s="1313"/>
      <c r="E48" s="1313"/>
      <c r="F48" s="1313"/>
      <c r="G48" s="1313"/>
      <c r="H48" s="1313"/>
      <c r="I48" s="1313"/>
      <c r="J48" s="1624"/>
      <c r="K48" s="1630"/>
      <c r="L48" s="1626"/>
      <c r="M48" s="1627"/>
      <c r="N48" s="1627"/>
      <c r="O48" s="1627"/>
      <c r="P48" s="1627"/>
      <c r="Q48" s="1627"/>
      <c r="R48" s="1628"/>
      <c r="S48" s="1605"/>
    </row>
    <row r="49" spans="2:19" ht="18">
      <c r="B49" s="1313"/>
      <c r="C49" s="1313"/>
      <c r="D49" s="1313"/>
      <c r="E49" s="1313"/>
      <c r="F49" s="1313"/>
      <c r="G49" s="1313"/>
      <c r="H49" s="1313"/>
      <c r="I49" s="1313"/>
      <c r="J49" s="1624"/>
      <c r="K49" s="1630"/>
      <c r="L49" s="1626"/>
      <c r="M49" s="1627"/>
      <c r="N49" s="1627"/>
      <c r="O49" s="1627"/>
      <c r="P49" s="1627"/>
      <c r="Q49" s="1627"/>
      <c r="R49" s="1628"/>
      <c r="S49" s="1605"/>
    </row>
    <row r="50" spans="2:19" ht="18">
      <c r="B50" s="1313"/>
      <c r="C50" s="1313"/>
      <c r="D50" s="1313"/>
      <c r="E50" s="1313"/>
      <c r="F50" s="1313"/>
      <c r="G50" s="1313"/>
      <c r="H50" s="1313"/>
      <c r="I50" s="1313"/>
      <c r="J50" s="1624"/>
      <c r="K50" s="1630"/>
      <c r="L50" s="1626"/>
      <c r="M50" s="1627"/>
      <c r="N50" s="1627"/>
      <c r="O50" s="1627"/>
      <c r="P50" s="1627"/>
      <c r="Q50" s="1627"/>
      <c r="R50" s="1628"/>
      <c r="S50" s="1605"/>
    </row>
    <row r="51" spans="2:19">
      <c r="J51" s="1624"/>
      <c r="K51" s="1630"/>
      <c r="L51" s="1626"/>
      <c r="M51" s="1627"/>
      <c r="N51" s="1627"/>
      <c r="O51" s="1627"/>
      <c r="P51" s="1627"/>
      <c r="Q51" s="1627"/>
      <c r="R51" s="1628"/>
      <c r="S51" s="1605"/>
    </row>
    <row r="52" spans="2:19">
      <c r="J52" s="1624"/>
      <c r="K52" s="1630"/>
      <c r="L52" s="1626"/>
      <c r="M52" s="1627"/>
      <c r="N52" s="1627"/>
      <c r="O52" s="1627"/>
      <c r="P52" s="1627"/>
      <c r="Q52" s="1627"/>
      <c r="R52" s="1628"/>
      <c r="S52" s="1605"/>
    </row>
    <row r="53" spans="2:19">
      <c r="J53" s="1624"/>
      <c r="K53" s="1630"/>
      <c r="L53" s="1626"/>
      <c r="M53" s="1627"/>
      <c r="N53" s="1627"/>
      <c r="O53" s="1627"/>
      <c r="P53" s="1627"/>
      <c r="Q53" s="1627"/>
      <c r="R53" s="1628"/>
      <c r="S53" s="1605"/>
    </row>
    <row r="54" spans="2:19">
      <c r="J54" s="1624"/>
      <c r="K54" s="1630"/>
      <c r="L54" s="1626"/>
      <c r="M54" s="1627"/>
      <c r="N54" s="1627"/>
      <c r="O54" s="1627"/>
      <c r="P54" s="1627"/>
      <c r="Q54" s="1627"/>
      <c r="R54" s="1628"/>
      <c r="S54" s="1605"/>
    </row>
    <row r="55" spans="2:19">
      <c r="J55" s="1624"/>
      <c r="K55" s="1630"/>
      <c r="L55" s="1626"/>
      <c r="M55" s="1627"/>
      <c r="N55" s="1627"/>
      <c r="O55" s="1627"/>
      <c r="P55" s="1627"/>
      <c r="Q55" s="1627"/>
      <c r="R55" s="1628"/>
      <c r="S55" s="1605"/>
    </row>
    <row r="56" spans="2:19">
      <c r="J56" s="1624"/>
      <c r="K56" s="1630"/>
      <c r="L56" s="1626"/>
      <c r="M56" s="1627"/>
      <c r="N56" s="1627"/>
      <c r="O56" s="1627"/>
      <c r="P56" s="1627"/>
      <c r="Q56" s="1627"/>
      <c r="R56" s="1628"/>
      <c r="S56" s="1605"/>
    </row>
    <row r="57" spans="2:19">
      <c r="J57" s="1624"/>
      <c r="K57" s="1630"/>
      <c r="L57" s="1626"/>
      <c r="M57" s="1627"/>
      <c r="N57" s="1627"/>
      <c r="O57" s="1627"/>
      <c r="P57" s="1627"/>
      <c r="Q57" s="1627"/>
      <c r="R57" s="1628"/>
      <c r="S57" s="1605"/>
    </row>
    <row r="58" spans="2:19">
      <c r="J58" s="1624"/>
      <c r="K58" s="1630"/>
      <c r="L58" s="1626"/>
      <c r="M58" s="1627"/>
      <c r="N58" s="1627"/>
      <c r="O58" s="1627"/>
      <c r="P58" s="1627"/>
      <c r="Q58" s="1627"/>
      <c r="R58" s="1628"/>
      <c r="S58" s="1605"/>
    </row>
    <row r="59" spans="2:19">
      <c r="J59" s="1624"/>
      <c r="K59" s="1630"/>
      <c r="L59" s="1626"/>
      <c r="M59" s="1627"/>
      <c r="N59" s="1627"/>
      <c r="O59" s="1627"/>
      <c r="P59" s="1627"/>
      <c r="Q59" s="1627"/>
      <c r="R59" s="1628"/>
      <c r="S59" s="1605"/>
    </row>
    <row r="60" spans="2:19">
      <c r="J60" s="1624"/>
      <c r="K60" s="1630"/>
      <c r="L60" s="1626"/>
      <c r="M60" s="1627"/>
      <c r="N60" s="1627"/>
      <c r="O60" s="1627"/>
      <c r="P60" s="1627"/>
      <c r="Q60" s="1627"/>
      <c r="R60" s="1628"/>
      <c r="S60" s="1627"/>
    </row>
    <row r="61" spans="2:19">
      <c r="J61" s="1624"/>
      <c r="K61" s="1630"/>
      <c r="L61" s="1626"/>
      <c r="M61" s="1627"/>
      <c r="N61" s="1627"/>
      <c r="O61" s="1627"/>
      <c r="P61" s="1627"/>
      <c r="Q61" s="1627"/>
      <c r="R61" s="1628"/>
      <c r="S61" s="1627"/>
    </row>
    <row r="62" spans="2:19">
      <c r="J62" s="1624"/>
      <c r="K62" s="1630"/>
      <c r="L62" s="1626"/>
      <c r="M62" s="1627"/>
      <c r="N62" s="1627"/>
      <c r="O62" s="1627"/>
      <c r="P62" s="1627"/>
      <c r="Q62" s="1627"/>
      <c r="R62" s="1628"/>
      <c r="S62" s="1627"/>
    </row>
    <row r="63" spans="2:19">
      <c r="J63" s="1624"/>
      <c r="K63" s="1630"/>
      <c r="L63" s="1626"/>
      <c r="M63" s="1627"/>
      <c r="N63" s="1627"/>
      <c r="O63" s="1627"/>
      <c r="P63" s="1627"/>
      <c r="Q63" s="1627"/>
      <c r="R63" s="1628"/>
      <c r="S63" s="1627"/>
    </row>
    <row r="64" spans="2:19">
      <c r="J64" s="1624"/>
      <c r="K64" s="1630"/>
      <c r="L64" s="1626"/>
      <c r="M64" s="1627"/>
      <c r="N64" s="1627"/>
      <c r="O64" s="1627"/>
      <c r="P64" s="1627"/>
      <c r="Q64" s="1627"/>
      <c r="R64" s="1628"/>
      <c r="S64" s="1627"/>
    </row>
    <row r="65" spans="10:19">
      <c r="J65" s="1624"/>
      <c r="K65" s="1630"/>
      <c r="L65" s="1626"/>
      <c r="M65" s="1627"/>
      <c r="N65" s="1627"/>
      <c r="O65" s="1627"/>
      <c r="P65" s="1627"/>
      <c r="Q65" s="1627"/>
      <c r="R65" s="1628"/>
      <c r="S65" s="1627"/>
    </row>
    <row r="66" spans="10:19">
      <c r="J66" s="1624"/>
      <c r="K66" s="1630"/>
      <c r="L66" s="1626"/>
      <c r="M66" s="1627"/>
      <c r="N66" s="1627"/>
      <c r="O66" s="1627"/>
      <c r="P66" s="1627"/>
      <c r="Q66" s="1627"/>
      <c r="R66" s="1628"/>
      <c r="S66" s="1627"/>
    </row>
    <row r="67" spans="10:19" ht="18.75">
      <c r="J67" s="1632"/>
      <c r="K67" s="1313"/>
      <c r="L67" s="1313"/>
      <c r="M67" s="1313"/>
      <c r="N67" s="1313"/>
      <c r="O67" s="1313"/>
      <c r="P67" s="1313"/>
      <c r="Q67" s="1313"/>
      <c r="R67" s="1313"/>
      <c r="S67" s="1313"/>
    </row>
    <row r="68" spans="10:19" ht="18">
      <c r="J68" s="1313"/>
      <c r="K68" s="1313"/>
      <c r="L68" s="1313"/>
      <c r="M68" s="1313"/>
      <c r="N68" s="1313"/>
      <c r="O68" s="1313"/>
      <c r="P68" s="1313"/>
      <c r="Q68" s="1313"/>
      <c r="R68" s="1313"/>
      <c r="S68" s="1313"/>
    </row>
    <row r="69" spans="10:19" ht="18">
      <c r="J69" s="1313"/>
      <c r="K69" s="1313"/>
      <c r="L69" s="1313"/>
      <c r="M69" s="1313"/>
      <c r="N69" s="1313"/>
    </row>
    <row r="70" spans="10:19" ht="18">
      <c r="J70" s="1313"/>
      <c r="K70" s="1313"/>
      <c r="L70" s="1313"/>
      <c r="M70" s="1313"/>
      <c r="N70" s="1313"/>
    </row>
    <row r="71" spans="10:19" ht="18">
      <c r="J71" s="1313"/>
      <c r="K71" s="1313"/>
      <c r="L71" s="1313"/>
      <c r="M71" s="1313"/>
      <c r="N71" s="1313"/>
    </row>
    <row r="73" spans="10:19" ht="18">
      <c r="J73" s="1313"/>
      <c r="K73" s="1313"/>
      <c r="L73" s="1313"/>
      <c r="M73" s="1313"/>
      <c r="N73" s="1313"/>
    </row>
    <row r="77" spans="10:19" ht="30.75">
      <c r="J77" s="1313"/>
      <c r="K77" s="1313"/>
      <c r="L77" s="1313"/>
      <c r="M77" s="1633"/>
      <c r="N77" s="1633"/>
    </row>
    <row r="78" spans="10:19" ht="30.75">
      <c r="J78" s="1313"/>
      <c r="K78" s="1313"/>
      <c r="L78" s="1313"/>
      <c r="M78" s="1633"/>
      <c r="N78" s="1634"/>
    </row>
    <row r="79" spans="10:19" ht="30.75">
      <c r="J79" s="1313"/>
      <c r="K79" s="1313"/>
      <c r="L79" s="1313"/>
      <c r="M79" s="1633"/>
      <c r="N79" s="1633"/>
    </row>
    <row r="80" spans="10:19" ht="30.75">
      <c r="J80" s="1313"/>
      <c r="K80" s="1313"/>
      <c r="L80" s="1313"/>
      <c r="M80" s="1633"/>
      <c r="N80" s="1634"/>
    </row>
    <row r="81" spans="10:14" ht="30.75">
      <c r="J81" s="1313"/>
      <c r="K81" s="1313"/>
      <c r="L81" s="1313"/>
      <c r="M81" s="1633"/>
      <c r="N81" s="1633"/>
    </row>
  </sheetData>
  <mergeCells count="6">
    <mergeCell ref="A1:J1"/>
    <mergeCell ref="B38:I38"/>
    <mergeCell ref="G2:H2"/>
    <mergeCell ref="I2:J2"/>
    <mergeCell ref="A31:H31"/>
    <mergeCell ref="B37:I37"/>
  </mergeCells>
  <printOptions horizontalCentered="1" verticalCentered="1"/>
  <pageMargins left="0.25" right="0.25" top="0.75" bottom="0.75" header="0.3" footer="0.3"/>
  <pageSetup paperSize="9" scale="66" fitToHeight="0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0000"/>
    <pageSetUpPr fitToPage="1"/>
  </sheetPr>
  <dimension ref="A1:T111"/>
  <sheetViews>
    <sheetView rightToLeft="1" topLeftCell="A35" zoomScaleNormal="100" workbookViewId="0">
      <selection sqref="A1:F53"/>
    </sheetView>
  </sheetViews>
  <sheetFormatPr defaultColWidth="7" defaultRowHeight="15.75"/>
  <cols>
    <col min="1" max="1" width="10.875" style="1204" customWidth="1"/>
    <col min="2" max="2" width="30.125" style="1204" customWidth="1"/>
    <col min="3" max="3" width="11.625" style="1658" customWidth="1"/>
    <col min="4" max="4" width="10.25" style="1658" customWidth="1"/>
    <col min="5" max="5" width="9.75" style="1658" customWidth="1"/>
    <col min="6" max="6" width="11.75" style="1204" customWidth="1"/>
    <col min="7" max="7" width="18.625" style="1606" bestFit="1" customWidth="1"/>
    <col min="8" max="8" width="47.375" style="1204" bestFit="1" customWidth="1"/>
    <col min="9" max="9" width="17.625" style="1204" bestFit="1" customWidth="1"/>
    <col min="10" max="10" width="12.25" style="1204" bestFit="1" customWidth="1"/>
    <col min="11" max="11" width="11.375" style="1204" bestFit="1" customWidth="1"/>
    <col min="12" max="12" width="13.375" style="1204" bestFit="1" customWidth="1"/>
    <col min="13" max="16384" width="7" style="1204"/>
  </cols>
  <sheetData>
    <row r="1" spans="1:20" s="1198" customFormat="1" ht="21">
      <c r="A1" s="3560" t="s">
        <v>1810</v>
      </c>
      <c r="B1" s="3560"/>
      <c r="C1" s="3560"/>
      <c r="D1" s="3560"/>
      <c r="E1" s="3560"/>
      <c r="F1" s="3560"/>
      <c r="G1" s="1201"/>
    </row>
    <row r="2" spans="1:20">
      <c r="A2" s="3561" t="s">
        <v>1811</v>
      </c>
      <c r="B2" s="3561"/>
      <c r="C2" s="3561"/>
      <c r="D2" s="3561"/>
      <c r="E2" s="3561"/>
      <c r="F2" s="3561"/>
    </row>
    <row r="3" spans="1:20">
      <c r="A3" s="3559" t="s">
        <v>1</v>
      </c>
      <c r="B3" s="3559"/>
      <c r="C3" s="1635" t="s">
        <v>1812</v>
      </c>
      <c r="D3" s="1636" t="s">
        <v>1813</v>
      </c>
      <c r="E3" s="1636" t="s">
        <v>1814</v>
      </c>
      <c r="F3" s="1637" t="s">
        <v>49</v>
      </c>
      <c r="G3" s="1638"/>
      <c r="H3" s="1232"/>
      <c r="I3" s="1232"/>
      <c r="J3" s="1232"/>
      <c r="K3" s="1232"/>
      <c r="L3" s="1232"/>
      <c r="M3" s="1252"/>
      <c r="N3" s="1252"/>
      <c r="O3" s="1252"/>
      <c r="P3" s="1252"/>
      <c r="Q3" s="1252"/>
      <c r="R3" s="1252"/>
      <c r="S3" s="1252"/>
      <c r="T3" s="1252"/>
    </row>
    <row r="4" spans="1:20" ht="19.5">
      <c r="A4" s="3559" t="s">
        <v>1815</v>
      </c>
      <c r="B4" s="3559"/>
      <c r="C4" s="1639">
        <f>16999054958801+714161456520</f>
        <v>17713216415321</v>
      </c>
      <c r="D4" s="1639">
        <v>5779870266884</v>
      </c>
      <c r="E4" s="1640">
        <v>607286997126</v>
      </c>
      <c r="F4" s="1641">
        <f>C4+D4+E4</f>
        <v>24100373679331</v>
      </c>
      <c r="G4" s="1642"/>
      <c r="H4" s="1643"/>
      <c r="I4" s="1643"/>
      <c r="J4" s="1644"/>
      <c r="K4" s="1644"/>
      <c r="L4" s="1644"/>
      <c r="M4" s="1644"/>
      <c r="N4" s="1644"/>
      <c r="O4" s="1645"/>
      <c r="P4" s="1646"/>
      <c r="Q4" s="1646"/>
      <c r="R4" s="1646"/>
      <c r="S4" s="1252"/>
      <c r="T4" s="1252"/>
    </row>
    <row r="5" spans="1:20" ht="19.5">
      <c r="A5" s="3559" t="s">
        <v>1816</v>
      </c>
      <c r="B5" s="3559"/>
      <c r="C5" s="1639">
        <v>2943820242093</v>
      </c>
      <c r="D5" s="1647">
        <v>819167081082</v>
      </c>
      <c r="E5" s="1639">
        <v>77621115678</v>
      </c>
      <c r="F5" s="1641">
        <f t="shared" ref="F5:F39" si="0">C5+D5+E5</f>
        <v>3840608438853</v>
      </c>
      <c r="G5" s="1642"/>
      <c r="H5" s="1643"/>
      <c r="I5" s="1648"/>
      <c r="J5" s="1644"/>
      <c r="K5" s="1644"/>
      <c r="L5" s="1644"/>
      <c r="M5" s="1644"/>
      <c r="N5" s="1644"/>
      <c r="O5" s="1645"/>
      <c r="P5" s="1646"/>
      <c r="Q5" s="1646"/>
      <c r="R5" s="1646"/>
      <c r="S5" s="1252"/>
      <c r="T5" s="1252"/>
    </row>
    <row r="6" spans="1:20" ht="19.5">
      <c r="A6" s="3559" t="s">
        <v>1817</v>
      </c>
      <c r="B6" s="3559"/>
      <c r="C6" s="1639">
        <v>2412138826428</v>
      </c>
      <c r="D6" s="1639">
        <v>772858016145</v>
      </c>
      <c r="E6" s="1639">
        <v>99578021847</v>
      </c>
      <c r="F6" s="1641">
        <f t="shared" si="0"/>
        <v>3284574864420</v>
      </c>
      <c r="G6" s="1642"/>
      <c r="H6" s="1643"/>
      <c r="I6" s="1648"/>
      <c r="J6" s="1644"/>
      <c r="K6" s="1644"/>
      <c r="L6" s="1644"/>
      <c r="M6" s="1644"/>
      <c r="N6" s="1644"/>
      <c r="O6" s="1645"/>
      <c r="P6" s="1646"/>
      <c r="Q6" s="1646"/>
      <c r="R6" s="1646"/>
      <c r="S6" s="1252"/>
      <c r="T6" s="1252"/>
    </row>
    <row r="7" spans="1:20" ht="19.5">
      <c r="A7" s="3559" t="s">
        <v>1818</v>
      </c>
      <c r="B7" s="3559"/>
      <c r="C7" s="1639">
        <f>349763105358+8110494437</f>
        <v>357873599795</v>
      </c>
      <c r="D7" s="1639">
        <v>195411121908</v>
      </c>
      <c r="E7" s="1649">
        <v>11465994278</v>
      </c>
      <c r="F7" s="1641">
        <f t="shared" si="0"/>
        <v>564750715981</v>
      </c>
      <c r="G7" s="1642"/>
      <c r="H7" s="1643"/>
      <c r="I7" s="1648"/>
      <c r="J7" s="1644"/>
      <c r="K7" s="1644"/>
      <c r="L7" s="1644"/>
      <c r="M7" s="1644"/>
      <c r="N7" s="1644"/>
      <c r="O7" s="1645"/>
      <c r="P7" s="1646"/>
      <c r="Q7" s="1646"/>
      <c r="R7" s="1646"/>
      <c r="S7" s="1252"/>
      <c r="T7" s="1252"/>
    </row>
    <row r="8" spans="1:20" ht="19.5">
      <c r="A8" s="3559" t="s">
        <v>1819</v>
      </c>
      <c r="B8" s="3559"/>
      <c r="C8" s="1650">
        <v>248734539850</v>
      </c>
      <c r="D8" s="1639">
        <v>231621658211</v>
      </c>
      <c r="E8" s="1649">
        <v>697298588</v>
      </c>
      <c r="F8" s="1641">
        <f t="shared" si="0"/>
        <v>481053496649</v>
      </c>
      <c r="G8" s="1642"/>
      <c r="H8" s="1643"/>
      <c r="I8" s="1648"/>
      <c r="J8" s="1644"/>
      <c r="K8" s="1644"/>
      <c r="L8" s="1644"/>
      <c r="M8" s="1644"/>
      <c r="N8" s="1644"/>
      <c r="O8" s="1645"/>
      <c r="P8" s="1646"/>
      <c r="Q8" s="1646"/>
      <c r="R8" s="1646"/>
      <c r="S8" s="1252"/>
      <c r="T8" s="1252"/>
    </row>
    <row r="9" spans="1:20" ht="19.5">
      <c r="A9" s="3559" t="s">
        <v>1820</v>
      </c>
      <c r="B9" s="3559"/>
      <c r="C9" s="1650">
        <f>3521619990541+21549258429745</f>
        <v>25070878420286</v>
      </c>
      <c r="D9" s="1647">
        <v>618431704999</v>
      </c>
      <c r="E9" s="1649">
        <v>24119277450</v>
      </c>
      <c r="F9" s="1641">
        <f t="shared" si="0"/>
        <v>25713429402735</v>
      </c>
      <c r="G9" s="1642"/>
      <c r="H9" s="1643"/>
      <c r="I9" s="1648"/>
      <c r="J9" s="1644"/>
      <c r="K9" s="1644"/>
      <c r="L9" s="1644"/>
      <c r="M9" s="1644"/>
      <c r="N9" s="1644"/>
      <c r="O9" s="1645"/>
      <c r="P9" s="1646"/>
      <c r="Q9" s="1646"/>
      <c r="R9" s="1646"/>
      <c r="S9" s="1252"/>
      <c r="T9" s="1252"/>
    </row>
    <row r="10" spans="1:20" ht="19.5">
      <c r="A10" s="3559" t="s">
        <v>1821</v>
      </c>
      <c r="B10" s="3559"/>
      <c r="C10" s="1651">
        <f>1023200773894+97300538013</f>
        <v>1120501311907</v>
      </c>
      <c r="D10" s="1639">
        <v>34343152958</v>
      </c>
      <c r="E10" s="1649">
        <v>2391652495</v>
      </c>
      <c r="F10" s="1641">
        <f t="shared" si="0"/>
        <v>1157236117360</v>
      </c>
      <c r="G10" s="1642"/>
      <c r="H10" s="1643"/>
      <c r="I10" s="1648"/>
      <c r="J10" s="1644"/>
      <c r="K10" s="1644"/>
      <c r="L10" s="1644"/>
      <c r="M10" s="1644"/>
      <c r="N10" s="1644"/>
      <c r="O10" s="1645"/>
      <c r="P10" s="1646"/>
      <c r="Q10" s="1646"/>
      <c r="R10" s="1646"/>
      <c r="S10" s="1252"/>
      <c r="T10" s="1252"/>
    </row>
    <row r="11" spans="1:20" ht="19.5">
      <c r="A11" s="3559" t="s">
        <v>1822</v>
      </c>
      <c r="B11" s="3559"/>
      <c r="C11" s="1650">
        <v>11086451441</v>
      </c>
      <c r="D11" s="1639">
        <v>18850115392</v>
      </c>
      <c r="E11" s="1652">
        <v>431978914</v>
      </c>
      <c r="F11" s="1641">
        <f t="shared" si="0"/>
        <v>30368545747</v>
      </c>
      <c r="G11" s="1642"/>
      <c r="H11" s="1643"/>
      <c r="I11" s="1648"/>
      <c r="J11" s="1644"/>
      <c r="K11" s="1644"/>
      <c r="L11" s="1644"/>
      <c r="M11" s="1644"/>
      <c r="N11" s="1644"/>
      <c r="O11" s="1645"/>
      <c r="P11" s="1646"/>
      <c r="Q11" s="1646"/>
      <c r="R11" s="1646"/>
      <c r="S11" s="1252"/>
      <c r="T11" s="1252"/>
    </row>
    <row r="12" spans="1:20" ht="19.5">
      <c r="A12" s="3559" t="s">
        <v>1823</v>
      </c>
      <c r="B12" s="3559"/>
      <c r="C12" s="1651">
        <f>1097801338+570230229873</f>
        <v>571328031211</v>
      </c>
      <c r="D12" s="1647">
        <v>77947026609</v>
      </c>
      <c r="E12" s="1649">
        <v>7405898678</v>
      </c>
      <c r="F12" s="1641">
        <f t="shared" si="0"/>
        <v>656680956498</v>
      </c>
      <c r="G12" s="1642"/>
      <c r="H12" s="1643"/>
      <c r="I12" s="1648"/>
      <c r="J12" s="1644"/>
      <c r="K12" s="1644"/>
      <c r="L12" s="1644"/>
      <c r="M12" s="1644"/>
      <c r="N12" s="1644"/>
      <c r="O12" s="1645"/>
      <c r="P12" s="1646"/>
      <c r="Q12" s="1646"/>
      <c r="R12" s="1646"/>
      <c r="S12" s="1252"/>
      <c r="T12" s="1252"/>
    </row>
    <row r="13" spans="1:20" ht="19.5">
      <c r="A13" s="3559" t="s">
        <v>1824</v>
      </c>
      <c r="B13" s="3559"/>
      <c r="C13" s="1639">
        <v>18986487450</v>
      </c>
      <c r="D13" s="1639">
        <v>21211811355</v>
      </c>
      <c r="E13" s="1647">
        <v>244940032</v>
      </c>
      <c r="F13" s="1641">
        <f t="shared" si="0"/>
        <v>40443238837</v>
      </c>
      <c r="G13" s="1642"/>
      <c r="H13" s="1643"/>
      <c r="I13" s="1648"/>
      <c r="J13" s="1644"/>
      <c r="K13" s="1644"/>
      <c r="L13" s="1644"/>
      <c r="M13" s="1644"/>
      <c r="N13" s="1644"/>
      <c r="O13" s="1645"/>
      <c r="P13" s="1646"/>
      <c r="Q13" s="1646"/>
      <c r="R13" s="1646"/>
      <c r="S13" s="1252"/>
      <c r="T13" s="1252"/>
    </row>
    <row r="14" spans="1:20" ht="19.5">
      <c r="A14" s="3559" t="s">
        <v>1825</v>
      </c>
      <c r="B14" s="3559"/>
      <c r="C14" s="1639">
        <v>888836373</v>
      </c>
      <c r="D14" s="1639">
        <v>9044641645</v>
      </c>
      <c r="E14" s="1647">
        <v>321535060</v>
      </c>
      <c r="F14" s="1641">
        <f t="shared" si="0"/>
        <v>10255013078</v>
      </c>
      <c r="G14" s="1642"/>
      <c r="H14" s="1643"/>
      <c r="I14" s="1648"/>
      <c r="J14" s="1644"/>
      <c r="K14" s="1644"/>
      <c r="L14" s="1644"/>
      <c r="M14" s="1644"/>
      <c r="N14" s="1644"/>
      <c r="O14" s="1645"/>
      <c r="P14" s="1646"/>
      <c r="Q14" s="1646"/>
      <c r="R14" s="1646"/>
      <c r="S14" s="1252"/>
      <c r="T14" s="1252"/>
    </row>
    <row r="15" spans="1:20" ht="19.5">
      <c r="A15" s="3559" t="s">
        <v>1826</v>
      </c>
      <c r="B15" s="3559"/>
      <c r="C15" s="1639">
        <v>78202750070</v>
      </c>
      <c r="D15" s="1639">
        <f>1753516207092-118843964134</f>
        <v>1634672242958</v>
      </c>
      <c r="E15" s="1647">
        <v>836109867</v>
      </c>
      <c r="F15" s="1641">
        <f t="shared" si="0"/>
        <v>1713711102895</v>
      </c>
      <c r="G15" s="1642"/>
      <c r="H15" s="1643"/>
      <c r="I15" s="1648"/>
      <c r="J15" s="1644"/>
      <c r="K15" s="1644"/>
      <c r="L15" s="1644"/>
      <c r="M15" s="1644"/>
      <c r="N15" s="1644"/>
      <c r="O15" s="1645"/>
      <c r="P15" s="1646"/>
      <c r="Q15" s="1646"/>
      <c r="R15" s="1646"/>
      <c r="S15" s="1252"/>
      <c r="T15" s="1252"/>
    </row>
    <row r="16" spans="1:20" ht="19.5">
      <c r="A16" s="3559" t="s">
        <v>1827</v>
      </c>
      <c r="B16" s="3559"/>
      <c r="C16" s="1639">
        <v>54240081795</v>
      </c>
      <c r="D16" s="1639">
        <v>82640013331</v>
      </c>
      <c r="E16" s="1639">
        <v>1251303151</v>
      </c>
      <c r="F16" s="1641">
        <f t="shared" si="0"/>
        <v>138131398277</v>
      </c>
      <c r="G16" s="1642"/>
      <c r="H16" s="1643"/>
      <c r="I16" s="1648"/>
      <c r="J16" s="1644"/>
      <c r="K16" s="1644"/>
      <c r="L16" s="1644"/>
      <c r="M16" s="1644"/>
      <c r="N16" s="1644"/>
      <c r="O16" s="1645"/>
      <c r="P16" s="1646"/>
      <c r="Q16" s="1646"/>
      <c r="R16" s="1646"/>
      <c r="S16" s="1252"/>
      <c r="T16" s="1252"/>
    </row>
    <row r="17" spans="1:20" ht="19.5">
      <c r="A17" s="3559" t="s">
        <v>1828</v>
      </c>
      <c r="B17" s="3559"/>
      <c r="C17" s="1653">
        <v>618748317727</v>
      </c>
      <c r="D17" s="1654">
        <v>41183069070</v>
      </c>
      <c r="E17" s="1653">
        <v>9482640919</v>
      </c>
      <c r="F17" s="1641">
        <f t="shared" si="0"/>
        <v>669414027716</v>
      </c>
      <c r="G17" s="1642"/>
      <c r="H17" s="1643"/>
      <c r="I17" s="1648"/>
      <c r="J17" s="1644"/>
      <c r="K17" s="1644"/>
      <c r="L17" s="1644"/>
      <c r="M17" s="1644"/>
      <c r="N17" s="1644"/>
      <c r="O17" s="1645"/>
      <c r="P17" s="1646"/>
      <c r="Q17" s="1646"/>
      <c r="R17" s="1646"/>
      <c r="S17" s="1252"/>
      <c r="T17" s="1252"/>
    </row>
    <row r="18" spans="1:20" ht="19.5">
      <c r="A18" s="3559" t="s">
        <v>1829</v>
      </c>
      <c r="B18" s="3559"/>
      <c r="C18" s="1652">
        <v>59263098474962</v>
      </c>
      <c r="D18" s="1639">
        <v>14564339776499</v>
      </c>
      <c r="E18" s="1639">
        <v>667947606855</v>
      </c>
      <c r="F18" s="1641">
        <f t="shared" si="0"/>
        <v>74495385858316</v>
      </c>
      <c r="G18" s="1642"/>
      <c r="H18" s="1643"/>
      <c r="I18" s="1648"/>
      <c r="J18" s="1644"/>
      <c r="K18" s="1644"/>
      <c r="L18" s="1644"/>
      <c r="M18" s="1644"/>
      <c r="N18" s="1644"/>
      <c r="O18" s="1645"/>
      <c r="P18" s="1646"/>
      <c r="Q18" s="1646"/>
      <c r="R18" s="1646"/>
      <c r="S18" s="1252"/>
      <c r="T18" s="1252"/>
    </row>
    <row r="19" spans="1:20" ht="19.5">
      <c r="A19" s="3559" t="s">
        <v>1830</v>
      </c>
      <c r="B19" s="3559"/>
      <c r="C19" s="1647">
        <v>0</v>
      </c>
      <c r="D19" s="1639">
        <v>52869000000</v>
      </c>
      <c r="E19" s="1647">
        <v>0</v>
      </c>
      <c r="F19" s="1641">
        <f t="shared" si="0"/>
        <v>52869000000</v>
      </c>
      <c r="G19" s="1642"/>
      <c r="H19" s="1643"/>
      <c r="I19" s="1648"/>
      <c r="J19" s="1644"/>
      <c r="K19" s="1644"/>
      <c r="L19" s="1644"/>
      <c r="M19" s="1644"/>
      <c r="N19" s="1644"/>
      <c r="O19" s="1645"/>
      <c r="P19" s="1646"/>
      <c r="Q19" s="1646"/>
      <c r="R19" s="1646"/>
      <c r="S19" s="1252"/>
      <c r="T19" s="1252"/>
    </row>
    <row r="20" spans="1:20" ht="19.5">
      <c r="A20" s="3559" t="s">
        <v>1831</v>
      </c>
      <c r="B20" s="3559"/>
      <c r="C20" s="1647">
        <v>0</v>
      </c>
      <c r="D20" s="1653">
        <v>51648721540</v>
      </c>
      <c r="E20" s="1647">
        <v>0</v>
      </c>
      <c r="F20" s="1641">
        <f t="shared" si="0"/>
        <v>51648721540</v>
      </c>
      <c r="G20" s="1642"/>
      <c r="H20" s="1643"/>
      <c r="I20" s="1648"/>
      <c r="J20" s="1644"/>
      <c r="K20" s="1644"/>
      <c r="L20" s="1644"/>
      <c r="M20" s="1644"/>
      <c r="N20" s="1644"/>
      <c r="O20" s="1645"/>
      <c r="P20" s="1646"/>
      <c r="Q20" s="1646"/>
      <c r="R20" s="1646"/>
      <c r="S20" s="1252"/>
      <c r="T20" s="1252"/>
    </row>
    <row r="21" spans="1:20" ht="19.5">
      <c r="A21" s="3559" t="s">
        <v>1832</v>
      </c>
      <c r="B21" s="3559"/>
      <c r="C21" s="1647">
        <v>0</v>
      </c>
      <c r="D21" s="1639">
        <v>4178636327685</v>
      </c>
      <c r="E21" s="1647">
        <v>0</v>
      </c>
      <c r="F21" s="1641">
        <f t="shared" si="0"/>
        <v>4178636327685</v>
      </c>
      <c r="G21" s="1642"/>
      <c r="H21" s="1643"/>
      <c r="I21" s="1648"/>
      <c r="J21" s="1644"/>
      <c r="K21" s="1644"/>
      <c r="L21" s="1644"/>
      <c r="M21" s="1644"/>
      <c r="N21" s="1644"/>
      <c r="O21" s="1645"/>
      <c r="P21" s="1646"/>
      <c r="Q21" s="1646"/>
      <c r="R21" s="1646"/>
      <c r="S21" s="1252"/>
      <c r="T21" s="1252"/>
    </row>
    <row r="22" spans="1:20" ht="19.5">
      <c r="A22" s="3559" t="s">
        <v>1833</v>
      </c>
      <c r="B22" s="3559"/>
      <c r="C22" s="1647">
        <v>0</v>
      </c>
      <c r="D22" s="1652">
        <v>8093668084</v>
      </c>
      <c r="E22" s="1647">
        <v>0</v>
      </c>
      <c r="F22" s="1641">
        <f t="shared" si="0"/>
        <v>8093668084</v>
      </c>
      <c r="G22" s="1642"/>
      <c r="H22" s="1643"/>
      <c r="I22" s="1648"/>
      <c r="J22" s="1644"/>
      <c r="K22" s="1644"/>
      <c r="L22" s="1644"/>
      <c r="M22" s="1644"/>
      <c r="N22" s="1644"/>
      <c r="O22" s="1645"/>
      <c r="P22" s="1646"/>
      <c r="Q22" s="1646"/>
      <c r="R22" s="1646"/>
      <c r="S22" s="1252"/>
      <c r="T22" s="1252"/>
    </row>
    <row r="23" spans="1:20" ht="19.5">
      <c r="A23" s="3559" t="s">
        <v>1834</v>
      </c>
      <c r="B23" s="3559"/>
      <c r="C23" s="1647">
        <v>0</v>
      </c>
      <c r="D23" s="1639">
        <v>56705619477</v>
      </c>
      <c r="E23" s="1639">
        <v>44136015033</v>
      </c>
      <c r="F23" s="1641">
        <f t="shared" si="0"/>
        <v>100841634510</v>
      </c>
      <c r="G23" s="1642"/>
      <c r="H23" s="1643"/>
      <c r="I23" s="1648"/>
      <c r="J23" s="1644"/>
      <c r="K23" s="1644"/>
      <c r="L23" s="1644"/>
      <c r="M23" s="1644"/>
      <c r="N23" s="1644"/>
      <c r="O23" s="1645"/>
      <c r="P23" s="1646"/>
      <c r="Q23" s="1646"/>
      <c r="R23" s="1646"/>
      <c r="S23" s="1252"/>
      <c r="T23" s="1252"/>
    </row>
    <row r="24" spans="1:20" ht="19.5">
      <c r="A24" s="3559" t="s">
        <v>1835</v>
      </c>
      <c r="B24" s="3559"/>
      <c r="C24" s="1639">
        <v>175737386998</v>
      </c>
      <c r="D24" s="1639">
        <v>2391873428</v>
      </c>
      <c r="E24" s="1639">
        <v>2191994596</v>
      </c>
      <c r="F24" s="1641">
        <f t="shared" si="0"/>
        <v>180321255022</v>
      </c>
      <c r="G24" s="1642"/>
      <c r="H24" s="1643"/>
      <c r="I24" s="1648"/>
      <c r="J24" s="1644"/>
      <c r="K24" s="1644"/>
      <c r="L24" s="1644"/>
      <c r="M24" s="1644"/>
      <c r="N24" s="1644"/>
      <c r="O24" s="1645"/>
      <c r="P24" s="1646"/>
      <c r="Q24" s="1646"/>
      <c r="R24" s="1646"/>
      <c r="S24" s="1252"/>
      <c r="T24" s="1252"/>
    </row>
    <row r="25" spans="1:20" ht="19.5">
      <c r="A25" s="3559" t="s">
        <v>1836</v>
      </c>
      <c r="B25" s="3559"/>
      <c r="C25" s="1639">
        <v>63542953128</v>
      </c>
      <c r="D25" s="1647">
        <v>297682893077</v>
      </c>
      <c r="E25" s="1647">
        <v>22660226099</v>
      </c>
      <c r="F25" s="1641">
        <f t="shared" si="0"/>
        <v>383886072304</v>
      </c>
      <c r="G25" s="1642"/>
      <c r="H25" s="1643"/>
      <c r="I25" s="1648"/>
      <c r="J25" s="1644"/>
      <c r="K25" s="1644"/>
      <c r="L25" s="1644"/>
      <c r="M25" s="1644"/>
      <c r="N25" s="1644"/>
      <c r="O25" s="1645"/>
      <c r="P25" s="1646"/>
      <c r="Q25" s="1646"/>
      <c r="R25" s="1646"/>
      <c r="S25" s="1252"/>
      <c r="T25" s="1252"/>
    </row>
    <row r="26" spans="1:20" ht="19.5">
      <c r="A26" s="3559" t="s">
        <v>1837</v>
      </c>
      <c r="B26" s="3559"/>
      <c r="C26" s="1655">
        <f>1959294216056+1381233031</f>
        <v>1960675449087</v>
      </c>
      <c r="D26" s="1639">
        <v>713760158587</v>
      </c>
      <c r="E26" s="1647">
        <v>147348444</v>
      </c>
      <c r="F26" s="1641">
        <f t="shared" si="0"/>
        <v>2674582956118</v>
      </c>
      <c r="G26" s="1642"/>
      <c r="H26" s="1643"/>
      <c r="I26" s="1648"/>
      <c r="J26" s="1644"/>
      <c r="K26" s="1644"/>
      <c r="L26" s="1644"/>
      <c r="M26" s="1644"/>
      <c r="N26" s="1644"/>
      <c r="O26" s="1645"/>
      <c r="P26" s="1646"/>
      <c r="Q26" s="1646"/>
      <c r="R26" s="1646"/>
      <c r="S26" s="1252"/>
      <c r="T26" s="1252"/>
    </row>
    <row r="27" spans="1:20" ht="19.5">
      <c r="A27" s="3559" t="s">
        <v>1838</v>
      </c>
      <c r="B27" s="3559"/>
      <c r="C27" s="1639">
        <v>5757957378</v>
      </c>
      <c r="D27" s="1639">
        <v>27782339395</v>
      </c>
      <c r="E27" s="1647">
        <v>301771062</v>
      </c>
      <c r="F27" s="1641">
        <f t="shared" si="0"/>
        <v>33842067835</v>
      </c>
      <c r="G27" s="1642"/>
      <c r="H27" s="1643"/>
      <c r="I27" s="1648"/>
      <c r="J27" s="1644"/>
      <c r="K27" s="1644"/>
      <c r="L27" s="1644"/>
      <c r="M27" s="1644"/>
      <c r="N27" s="1644"/>
      <c r="O27" s="1645"/>
      <c r="P27" s="1646"/>
      <c r="Q27" s="1646"/>
      <c r="R27" s="1646"/>
      <c r="S27" s="1252"/>
      <c r="T27" s="1252"/>
    </row>
    <row r="28" spans="1:20" ht="19.5">
      <c r="A28" s="3559" t="s">
        <v>1839</v>
      </c>
      <c r="B28" s="3559"/>
      <c r="C28" s="1639">
        <v>2276341725</v>
      </c>
      <c r="D28" s="1639">
        <v>63659280416</v>
      </c>
      <c r="E28" s="1647">
        <v>567670134</v>
      </c>
      <c r="F28" s="1641">
        <f t="shared" si="0"/>
        <v>66503292275</v>
      </c>
      <c r="G28" s="1642"/>
      <c r="H28" s="1643"/>
      <c r="I28" s="1648"/>
      <c r="J28" s="1644"/>
      <c r="K28" s="1644"/>
      <c r="L28" s="1644"/>
      <c r="M28" s="1644"/>
      <c r="N28" s="1644"/>
      <c r="O28" s="1645"/>
      <c r="P28" s="1646"/>
      <c r="Q28" s="1646"/>
      <c r="R28" s="1646"/>
      <c r="S28" s="1252"/>
      <c r="T28" s="1252"/>
    </row>
    <row r="29" spans="1:20" ht="19.5">
      <c r="A29" s="3559" t="s">
        <v>1840</v>
      </c>
      <c r="B29" s="3559"/>
      <c r="C29" s="1639">
        <v>55810665089</v>
      </c>
      <c r="D29" s="1639">
        <v>39734213608</v>
      </c>
      <c r="E29" s="1639">
        <v>176009473</v>
      </c>
      <c r="F29" s="1641">
        <f t="shared" si="0"/>
        <v>95720888170</v>
      </c>
      <c r="G29" s="1642"/>
      <c r="H29" s="1643"/>
      <c r="I29" s="1648"/>
      <c r="J29" s="1644"/>
      <c r="K29" s="1644"/>
      <c r="L29" s="1644"/>
      <c r="M29" s="1644"/>
      <c r="N29" s="1644"/>
      <c r="O29" s="1645"/>
      <c r="P29" s="1646"/>
      <c r="Q29" s="1646"/>
      <c r="R29" s="1646"/>
      <c r="S29" s="1252"/>
      <c r="T29" s="1252"/>
    </row>
    <row r="30" spans="1:20" ht="19.5">
      <c r="A30" s="3559" t="s">
        <v>1841</v>
      </c>
      <c r="B30" s="3559"/>
      <c r="C30" s="1639">
        <v>29671047475</v>
      </c>
      <c r="D30" s="1639">
        <v>4864835105</v>
      </c>
      <c r="E30" s="1639">
        <v>15716053186</v>
      </c>
      <c r="F30" s="1641">
        <f t="shared" si="0"/>
        <v>50251935766</v>
      </c>
      <c r="G30" s="1642"/>
      <c r="H30" s="1643"/>
      <c r="I30" s="1648"/>
      <c r="J30" s="1644"/>
      <c r="K30" s="1644"/>
      <c r="L30" s="1644"/>
      <c r="M30" s="1644"/>
      <c r="N30" s="1644"/>
      <c r="O30" s="1645"/>
      <c r="P30" s="1646"/>
      <c r="Q30" s="1646"/>
      <c r="R30" s="1646"/>
      <c r="S30" s="1252"/>
      <c r="T30" s="1252"/>
    </row>
    <row r="31" spans="1:20" ht="19.5">
      <c r="A31" s="3559" t="s">
        <v>1842</v>
      </c>
      <c r="B31" s="3559"/>
      <c r="C31" s="1639">
        <v>23000000</v>
      </c>
      <c r="D31" s="1639">
        <v>300367000</v>
      </c>
      <c r="E31" s="1647">
        <v>0</v>
      </c>
      <c r="F31" s="1641">
        <f t="shared" si="0"/>
        <v>323367000</v>
      </c>
      <c r="G31" s="1642"/>
      <c r="H31" s="1643"/>
      <c r="I31" s="1648"/>
      <c r="J31" s="1644"/>
      <c r="K31" s="1644"/>
      <c r="L31" s="1644"/>
      <c r="M31" s="1644"/>
      <c r="N31" s="1644"/>
      <c r="O31" s="1645"/>
      <c r="P31" s="1646"/>
      <c r="Q31" s="1646"/>
      <c r="R31" s="1646"/>
      <c r="S31" s="1252"/>
      <c r="T31" s="1252"/>
    </row>
    <row r="32" spans="1:20" ht="19.5">
      <c r="A32" s="3559" t="s">
        <v>1843</v>
      </c>
      <c r="B32" s="3559"/>
      <c r="C32" s="1647">
        <v>170930449833</v>
      </c>
      <c r="D32" s="1647">
        <v>979120682995</v>
      </c>
      <c r="E32" s="1647">
        <v>21270129471</v>
      </c>
      <c r="F32" s="1641">
        <f t="shared" si="0"/>
        <v>1171321262299</v>
      </c>
      <c r="G32" s="1642"/>
      <c r="H32" s="1643"/>
      <c r="I32" s="1648"/>
      <c r="J32" s="1644"/>
      <c r="K32" s="1644"/>
      <c r="L32" s="1644"/>
      <c r="M32" s="1644"/>
      <c r="N32" s="1644"/>
      <c r="O32" s="1645"/>
      <c r="P32" s="1646"/>
      <c r="Q32" s="1646"/>
      <c r="R32" s="1646"/>
      <c r="S32" s="1252"/>
      <c r="T32" s="1252"/>
    </row>
    <row r="33" spans="1:20" ht="19.5">
      <c r="A33" s="3559" t="s">
        <v>1844</v>
      </c>
      <c r="B33" s="3559"/>
      <c r="C33" s="1647">
        <v>0</v>
      </c>
      <c r="D33" s="1647">
        <f>307009000000+103338599174</f>
        <v>410347599174</v>
      </c>
      <c r="E33" s="1647">
        <v>0</v>
      </c>
      <c r="F33" s="1641">
        <f t="shared" si="0"/>
        <v>410347599174</v>
      </c>
      <c r="G33" s="1642"/>
      <c r="H33" s="1643"/>
      <c r="I33" s="1648"/>
      <c r="J33" s="1644"/>
      <c r="K33" s="1644"/>
      <c r="L33" s="1644"/>
      <c r="M33" s="1644"/>
      <c r="N33" s="1644"/>
      <c r="O33" s="1645"/>
      <c r="P33" s="1646"/>
      <c r="Q33" s="1646"/>
      <c r="R33" s="1646"/>
      <c r="S33" s="1252"/>
      <c r="T33" s="1252"/>
    </row>
    <row r="34" spans="1:20" ht="19.5">
      <c r="A34" s="3559" t="s">
        <v>1845</v>
      </c>
      <c r="B34" s="3559"/>
      <c r="C34" s="1647">
        <v>0</v>
      </c>
      <c r="D34" s="1647">
        <v>95312697598</v>
      </c>
      <c r="E34" s="1647">
        <v>0</v>
      </c>
      <c r="F34" s="1641">
        <f t="shared" si="0"/>
        <v>95312697598</v>
      </c>
      <c r="G34" s="1642"/>
      <c r="H34" s="1643"/>
      <c r="I34" s="1648"/>
      <c r="J34" s="1644"/>
      <c r="K34" s="1644"/>
      <c r="L34" s="1644"/>
      <c r="M34" s="1644"/>
      <c r="N34" s="1644"/>
      <c r="O34" s="1645"/>
      <c r="P34" s="1646"/>
      <c r="Q34" s="1646"/>
      <c r="R34" s="1646"/>
      <c r="S34" s="1252"/>
      <c r="T34" s="1252"/>
    </row>
    <row r="35" spans="1:20" ht="19.5">
      <c r="A35" s="3559" t="s">
        <v>1846</v>
      </c>
      <c r="B35" s="3559"/>
      <c r="C35" s="1639">
        <v>2105164419758</v>
      </c>
      <c r="D35" s="1647">
        <v>0</v>
      </c>
      <c r="E35" s="1647">
        <v>0</v>
      </c>
      <c r="F35" s="1641">
        <f t="shared" si="0"/>
        <v>2105164419758</v>
      </c>
      <c r="G35" s="1642"/>
      <c r="H35" s="1643"/>
      <c r="I35" s="1648"/>
      <c r="J35" s="1644"/>
      <c r="K35" s="1644"/>
      <c r="L35" s="1644"/>
      <c r="M35" s="1644"/>
      <c r="N35" s="1644"/>
      <c r="O35" s="1645"/>
      <c r="P35" s="1646"/>
      <c r="Q35" s="1646"/>
      <c r="R35" s="1646"/>
      <c r="S35" s="1252"/>
      <c r="T35" s="1252"/>
    </row>
    <row r="36" spans="1:20" ht="19.5">
      <c r="A36" s="3559" t="s">
        <v>1847</v>
      </c>
      <c r="B36" s="3559"/>
      <c r="C36" s="1647">
        <f>'[5]sheet 1'!$D$68</f>
        <v>12497502352735</v>
      </c>
      <c r="D36" s="1647">
        <v>787323324416</v>
      </c>
      <c r="E36" s="1647">
        <v>26238217517</v>
      </c>
      <c r="F36" s="1641">
        <f t="shared" si="0"/>
        <v>13311063894668</v>
      </c>
      <c r="G36" s="1642"/>
      <c r="H36" s="1643"/>
      <c r="I36" s="1648"/>
      <c r="J36" s="1644"/>
      <c r="K36" s="1644"/>
      <c r="L36" s="1644"/>
      <c r="M36" s="1644"/>
      <c r="N36" s="1644"/>
      <c r="O36" s="1642"/>
      <c r="P36" s="1642"/>
      <c r="Q36" s="1642"/>
      <c r="R36" s="1642"/>
      <c r="S36" s="1252"/>
      <c r="T36" s="1252"/>
    </row>
    <row r="37" spans="1:20" ht="19.5">
      <c r="A37" s="3563" t="s">
        <v>1848</v>
      </c>
      <c r="B37" s="3563"/>
      <c r="C37" s="1639">
        <v>1500000000000</v>
      </c>
      <c r="D37" s="1647"/>
      <c r="E37" s="1647">
        <v>0</v>
      </c>
      <c r="F37" s="1641">
        <f t="shared" si="0"/>
        <v>1500000000000</v>
      </c>
      <c r="G37" s="1642"/>
      <c r="H37" s="1643"/>
      <c r="I37" s="1648"/>
      <c r="J37" s="1644"/>
      <c r="K37" s="1644"/>
      <c r="L37" s="1644"/>
      <c r="M37" s="1644"/>
      <c r="N37" s="1644"/>
      <c r="O37" s="1642"/>
      <c r="P37" s="1642"/>
      <c r="Q37" s="1642"/>
      <c r="R37" s="1642"/>
      <c r="S37" s="1252"/>
      <c r="T37" s="1252"/>
    </row>
    <row r="38" spans="1:20" ht="19.5">
      <c r="A38" s="3559" t="s">
        <v>1849</v>
      </c>
      <c r="B38" s="3559"/>
      <c r="C38" s="1653">
        <v>1388326320650</v>
      </c>
      <c r="D38" s="1647">
        <v>734154447733</v>
      </c>
      <c r="E38" s="1639">
        <v>452162687739</v>
      </c>
      <c r="F38" s="1641">
        <f t="shared" si="0"/>
        <v>2574643456122</v>
      </c>
      <c r="G38" s="1642"/>
      <c r="H38" s="1643"/>
      <c r="I38" s="1648"/>
      <c r="J38" s="1644"/>
      <c r="K38" s="1644"/>
      <c r="L38" s="1644"/>
      <c r="M38" s="1644"/>
      <c r="N38" s="1644"/>
      <c r="O38" s="1642"/>
      <c r="P38" s="1642"/>
      <c r="Q38" s="1642"/>
      <c r="R38" s="1642"/>
      <c r="S38" s="1252"/>
      <c r="T38" s="1252"/>
    </row>
    <row r="39" spans="1:20" ht="19.5">
      <c r="A39" s="3559" t="s">
        <v>49</v>
      </c>
      <c r="B39" s="3559"/>
      <c r="C39" s="1647">
        <f>SUM(C4:C38)</f>
        <v>130439161130565</v>
      </c>
      <c r="D39" s="1647">
        <f>SUM(D4:D38)</f>
        <v>33405979748364</v>
      </c>
      <c r="E39" s="1647">
        <f>SUM(E4:E38)</f>
        <v>2096650493692</v>
      </c>
      <c r="F39" s="1641">
        <f t="shared" si="0"/>
        <v>165941791372621</v>
      </c>
      <c r="G39" s="1638"/>
      <c r="H39" s="1643"/>
      <c r="I39" s="1648"/>
      <c r="J39" s="1252"/>
      <c r="K39" s="1252"/>
      <c r="L39" s="1252"/>
      <c r="M39" s="1252"/>
      <c r="N39" s="1252"/>
      <c r="O39" s="1252"/>
      <c r="P39" s="1252"/>
      <c r="Q39" s="1252"/>
      <c r="R39" s="1252"/>
      <c r="S39" s="1252"/>
      <c r="T39" s="1252"/>
    </row>
    <row r="40" spans="1:20" ht="17.25">
      <c r="A40" s="3564" t="s">
        <v>1850</v>
      </c>
      <c r="B40" s="3564"/>
      <c r="C40" s="3564"/>
      <c r="D40" s="3564"/>
      <c r="E40" s="3564"/>
      <c r="F40" s="3564"/>
      <c r="G40" s="1656"/>
      <c r="H40" s="1643"/>
      <c r="I40" s="1648"/>
      <c r="J40" s="1657"/>
      <c r="K40" s="1657"/>
      <c r="L40" s="1657"/>
    </row>
    <row r="41" spans="1:20" ht="17.25">
      <c r="A41" s="1208"/>
      <c r="B41" s="1208"/>
      <c r="D41" s="1659"/>
      <c r="E41" s="1659"/>
      <c r="H41" s="1648"/>
      <c r="I41" s="1648"/>
    </row>
    <row r="42" spans="1:20" ht="21">
      <c r="A42" s="1208"/>
      <c r="B42" s="3565" t="s">
        <v>1851</v>
      </c>
      <c r="C42" s="3565"/>
      <c r="D42" s="3565"/>
      <c r="E42" s="3565"/>
      <c r="G42" s="1648"/>
      <c r="H42" s="1643"/>
      <c r="I42" s="1648"/>
    </row>
    <row r="43" spans="1:20" ht="17.25">
      <c r="A43" s="1208"/>
      <c r="B43" s="3562" t="s">
        <v>1811</v>
      </c>
      <c r="C43" s="3562"/>
      <c r="D43" s="3562"/>
      <c r="E43" s="3562"/>
      <c r="G43" s="1648"/>
      <c r="H43" s="1643"/>
      <c r="I43" s="1648"/>
    </row>
    <row r="44" spans="1:20" ht="17.25">
      <c r="A44" s="1208"/>
      <c r="B44" s="3566" t="s">
        <v>1</v>
      </c>
      <c r="C44" s="3566"/>
      <c r="D44" s="3567" t="s">
        <v>1852</v>
      </c>
      <c r="E44" s="3567"/>
      <c r="G44" s="1638"/>
      <c r="H44" s="1643"/>
      <c r="I44" s="1648"/>
    </row>
    <row r="45" spans="1:20" ht="19.5">
      <c r="A45" s="1208"/>
      <c r="B45" s="3566" t="s">
        <v>1853</v>
      </c>
      <c r="C45" s="3566"/>
      <c r="D45" s="3568">
        <f>C39-C36</f>
        <v>117941658777830</v>
      </c>
      <c r="E45" s="3568"/>
      <c r="F45" s="1606"/>
      <c r="G45" s="1660"/>
      <c r="H45" s="1643"/>
      <c r="I45" s="1648"/>
    </row>
    <row r="46" spans="1:20" ht="19.5">
      <c r="A46" s="1208"/>
      <c r="B46" s="3566" t="s">
        <v>1854</v>
      </c>
      <c r="C46" s="3566"/>
      <c r="D46" s="3568">
        <f>D39-D36-D33-13943000000</f>
        <v>32194365824774</v>
      </c>
      <c r="E46" s="3568"/>
      <c r="F46" s="1606"/>
      <c r="G46" s="1660"/>
      <c r="H46" s="1643"/>
      <c r="I46" s="1648"/>
    </row>
    <row r="47" spans="1:20" ht="19.5">
      <c r="A47" s="1208"/>
      <c r="B47" s="3566" t="s">
        <v>1855</v>
      </c>
      <c r="C47" s="3566"/>
      <c r="D47" s="3568">
        <f>E39-E36</f>
        <v>2070412276175</v>
      </c>
      <c r="E47" s="3568"/>
      <c r="F47" s="1606"/>
      <c r="G47" s="1660"/>
      <c r="H47" s="1643"/>
      <c r="I47" s="1648"/>
    </row>
    <row r="48" spans="1:20" ht="19.5">
      <c r="A48" s="1208"/>
      <c r="B48" s="3566" t="s">
        <v>1856</v>
      </c>
      <c r="C48" s="3566"/>
      <c r="D48" s="3568">
        <v>13943000000</v>
      </c>
      <c r="E48" s="3568"/>
      <c r="F48" s="1606"/>
      <c r="G48" s="1660"/>
      <c r="H48" s="1643"/>
      <c r="I48" s="1648"/>
    </row>
    <row r="49" spans="1:9" ht="19.5">
      <c r="A49" s="1208"/>
      <c r="B49" s="3566" t="s">
        <v>1857</v>
      </c>
      <c r="C49" s="3566"/>
      <c r="D49" s="3568">
        <f>F36</f>
        <v>13311063894668</v>
      </c>
      <c r="E49" s="3568"/>
      <c r="F49" s="1606"/>
      <c r="G49" s="1660"/>
      <c r="H49" s="1643"/>
      <c r="I49" s="1648"/>
    </row>
    <row r="50" spans="1:9" ht="19.5">
      <c r="A50" s="1208"/>
      <c r="B50" s="3566" t="s">
        <v>1858</v>
      </c>
      <c r="C50" s="3566"/>
      <c r="D50" s="3568">
        <f>D33</f>
        <v>410347599174</v>
      </c>
      <c r="E50" s="3568"/>
      <c r="F50" s="1606"/>
      <c r="G50" s="1660"/>
      <c r="H50" s="1643"/>
      <c r="I50" s="1648"/>
    </row>
    <row r="51" spans="1:9" ht="18">
      <c r="A51" s="1208"/>
      <c r="B51" s="3566" t="s">
        <v>49</v>
      </c>
      <c r="C51" s="3566"/>
      <c r="D51" s="3568">
        <f>SUM(D45:E50)</f>
        <v>165941791372621</v>
      </c>
      <c r="E51" s="3568"/>
      <c r="G51" s="1638"/>
      <c r="H51" s="1643"/>
      <c r="I51" s="1648"/>
    </row>
    <row r="52" spans="1:9" ht="42" customHeight="1">
      <c r="A52" s="3570" t="s">
        <v>1859</v>
      </c>
      <c r="B52" s="3570"/>
      <c r="C52" s="3570"/>
      <c r="D52" s="3570"/>
      <c r="E52" s="3570"/>
      <c r="F52" s="3570"/>
      <c r="G52" s="1638"/>
      <c r="H52" s="1643"/>
      <c r="I52" s="1648"/>
    </row>
    <row r="53" spans="1:9" ht="17.25">
      <c r="A53" s="3569" t="s">
        <v>1860</v>
      </c>
      <c r="B53" s="3569"/>
      <c r="C53" s="3569"/>
      <c r="D53" s="3569"/>
      <c r="E53" s="3569"/>
      <c r="F53" s="3569"/>
      <c r="G53" s="1638"/>
      <c r="H53" s="1643"/>
      <c r="I53" s="1648"/>
    </row>
    <row r="54" spans="1:9" ht="17.25">
      <c r="G54" s="1638"/>
      <c r="H54" s="1643"/>
      <c r="I54" s="1648"/>
    </row>
    <row r="55" spans="1:9" ht="17.25">
      <c r="A55" s="1252"/>
      <c r="B55" s="1252"/>
      <c r="C55" s="1661"/>
      <c r="D55" s="1661"/>
      <c r="E55" s="1661"/>
      <c r="F55" s="1252"/>
      <c r="G55" s="1638"/>
      <c r="H55" s="1643"/>
      <c r="I55" s="1648"/>
    </row>
    <row r="56" spans="1:9" ht="17.25">
      <c r="H56" s="1643"/>
      <c r="I56" s="1648"/>
    </row>
    <row r="57" spans="1:9" ht="17.25">
      <c r="H57" s="1643"/>
      <c r="I57" s="1648"/>
    </row>
    <row r="58" spans="1:9" ht="17.25">
      <c r="H58" s="1643"/>
      <c r="I58" s="1648"/>
    </row>
    <row r="59" spans="1:9" ht="17.25">
      <c r="H59" s="1643"/>
      <c r="I59" s="1648"/>
    </row>
    <row r="60" spans="1:9" ht="17.25">
      <c r="H60" s="1643"/>
      <c r="I60" s="1648"/>
    </row>
    <row r="61" spans="1:9" ht="17.25">
      <c r="H61" s="1643"/>
      <c r="I61" s="1648"/>
    </row>
    <row r="62" spans="1:9" ht="17.25">
      <c r="H62" s="1643"/>
      <c r="I62" s="1648"/>
    </row>
    <row r="63" spans="1:9" ht="17.25">
      <c r="H63" s="1643"/>
      <c r="I63" s="1648"/>
    </row>
    <row r="64" spans="1:9" ht="17.25">
      <c r="H64" s="1643"/>
      <c r="I64" s="1648"/>
    </row>
    <row r="65" spans="8:9" ht="17.25">
      <c r="H65" s="1643"/>
      <c r="I65" s="1648"/>
    </row>
    <row r="66" spans="8:9" ht="17.25">
      <c r="H66" s="1643"/>
      <c r="I66" s="1648"/>
    </row>
    <row r="67" spans="8:9" ht="17.25">
      <c r="H67" s="1643"/>
      <c r="I67" s="1648"/>
    </row>
    <row r="68" spans="8:9" ht="17.25">
      <c r="H68" s="1643"/>
      <c r="I68" s="1648"/>
    </row>
    <row r="69" spans="8:9" ht="17.25">
      <c r="H69" s="1643"/>
      <c r="I69" s="1648"/>
    </row>
    <row r="70" spans="8:9" ht="17.25">
      <c r="H70" s="1643"/>
      <c r="I70" s="1648"/>
    </row>
    <row r="71" spans="8:9" ht="17.25">
      <c r="H71" s="1643"/>
      <c r="I71" s="1648"/>
    </row>
    <row r="72" spans="8:9" ht="17.25">
      <c r="H72" s="1643"/>
      <c r="I72" s="1648"/>
    </row>
    <row r="73" spans="8:9" ht="17.25">
      <c r="H73" s="1643"/>
      <c r="I73" s="1648"/>
    </row>
    <row r="74" spans="8:9" ht="17.25">
      <c r="H74" s="1643"/>
      <c r="I74" s="1648"/>
    </row>
    <row r="75" spans="8:9" ht="17.25">
      <c r="H75" s="1643"/>
      <c r="I75" s="1648"/>
    </row>
    <row r="76" spans="8:9" ht="17.25">
      <c r="H76" s="1643"/>
      <c r="I76" s="1648"/>
    </row>
    <row r="77" spans="8:9" ht="17.25">
      <c r="H77" s="1643"/>
      <c r="I77" s="1648"/>
    </row>
    <row r="78" spans="8:9" ht="17.25">
      <c r="H78" s="1643"/>
      <c r="I78" s="1648"/>
    </row>
    <row r="79" spans="8:9" ht="17.25">
      <c r="H79" s="1643"/>
      <c r="I79" s="1648"/>
    </row>
    <row r="80" spans="8:9" ht="17.25">
      <c r="H80" s="1643"/>
      <c r="I80" s="1648"/>
    </row>
    <row r="81" spans="8:9" ht="17.25">
      <c r="H81" s="1643"/>
      <c r="I81" s="1648"/>
    </row>
    <row r="82" spans="8:9" ht="17.25">
      <c r="H82" s="1643"/>
      <c r="I82" s="1648"/>
    </row>
    <row r="83" spans="8:9" ht="17.25">
      <c r="H83" s="1643"/>
      <c r="I83" s="1648"/>
    </row>
    <row r="84" spans="8:9" ht="17.25">
      <c r="H84" s="1643"/>
      <c r="I84" s="1648"/>
    </row>
    <row r="85" spans="8:9" ht="17.25">
      <c r="H85" s="1643"/>
      <c r="I85" s="1648"/>
    </row>
    <row r="86" spans="8:9" ht="17.25">
      <c r="H86" s="1643"/>
      <c r="I86" s="1648"/>
    </row>
    <row r="87" spans="8:9" ht="17.25">
      <c r="H87" s="1643"/>
      <c r="I87" s="1648"/>
    </row>
    <row r="88" spans="8:9" ht="17.25">
      <c r="H88" s="1643"/>
      <c r="I88" s="1648"/>
    </row>
    <row r="89" spans="8:9" ht="17.25">
      <c r="H89" s="1643"/>
      <c r="I89" s="1648"/>
    </row>
    <row r="90" spans="8:9" ht="17.25">
      <c r="H90" s="1643"/>
      <c r="I90" s="1648"/>
    </row>
    <row r="91" spans="8:9" ht="17.25">
      <c r="H91" s="1643"/>
      <c r="I91" s="1648"/>
    </row>
    <row r="92" spans="8:9" ht="17.25">
      <c r="H92" s="1643"/>
      <c r="I92" s="1648"/>
    </row>
    <row r="93" spans="8:9" ht="17.25">
      <c r="H93" s="1643"/>
      <c r="I93" s="1648"/>
    </row>
    <row r="94" spans="8:9" ht="17.25">
      <c r="H94" s="1643"/>
      <c r="I94" s="1648"/>
    </row>
    <row r="95" spans="8:9" ht="17.25">
      <c r="H95" s="1643"/>
      <c r="I95" s="1648"/>
    </row>
    <row r="96" spans="8:9" ht="17.25">
      <c r="H96" s="1643"/>
      <c r="I96" s="1648"/>
    </row>
    <row r="97" spans="8:9" ht="17.25">
      <c r="H97" s="1643"/>
      <c r="I97" s="1648"/>
    </row>
    <row r="98" spans="8:9" ht="17.25">
      <c r="H98" s="1643"/>
      <c r="I98" s="1648"/>
    </row>
    <row r="99" spans="8:9" ht="17.25">
      <c r="H99" s="1643"/>
      <c r="I99" s="1648"/>
    </row>
    <row r="100" spans="8:9" ht="17.25">
      <c r="H100" s="1643"/>
      <c r="I100" s="1648"/>
    </row>
    <row r="101" spans="8:9" ht="17.25">
      <c r="H101" s="1643"/>
      <c r="I101" s="1648"/>
    </row>
    <row r="102" spans="8:9" ht="17.25">
      <c r="H102" s="1643"/>
      <c r="I102" s="1648"/>
    </row>
    <row r="103" spans="8:9" ht="17.25">
      <c r="H103" s="1643"/>
      <c r="I103" s="1648"/>
    </row>
    <row r="104" spans="8:9" ht="17.25">
      <c r="H104" s="1643"/>
      <c r="I104" s="1648"/>
    </row>
    <row r="105" spans="8:9" ht="17.25">
      <c r="H105" s="1643"/>
      <c r="I105" s="1648"/>
    </row>
    <row r="106" spans="8:9" ht="17.25">
      <c r="H106" s="1643"/>
      <c r="I106" s="1648"/>
    </row>
    <row r="107" spans="8:9" ht="17.25">
      <c r="H107" s="1643"/>
      <c r="I107" s="1643"/>
    </row>
    <row r="108" spans="8:9" ht="17.25">
      <c r="H108" s="1643"/>
      <c r="I108" s="1643"/>
    </row>
    <row r="109" spans="8:9" ht="17.25">
      <c r="H109" s="1643"/>
      <c r="I109" s="1643"/>
    </row>
    <row r="110" spans="8:9" ht="17.25">
      <c r="H110" s="1643"/>
      <c r="I110" s="1643"/>
    </row>
    <row r="111" spans="8:9" ht="17.25">
      <c r="H111" s="1643"/>
      <c r="I111" s="1643"/>
    </row>
  </sheetData>
  <mergeCells count="60">
    <mergeCell ref="A53:F53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A52:F52"/>
    <mergeCell ref="B44:C44"/>
    <mergeCell ref="D44:E44"/>
    <mergeCell ref="B45:C45"/>
    <mergeCell ref="D45:E45"/>
    <mergeCell ref="B46:C46"/>
    <mergeCell ref="D46:E46"/>
    <mergeCell ref="B43:E43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F40"/>
    <mergeCell ref="B42:E42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F1"/>
    <mergeCell ref="A2:F2"/>
    <mergeCell ref="A3:B3"/>
    <mergeCell ref="A4:B4"/>
    <mergeCell ref="A5:B5"/>
  </mergeCells>
  <printOptions horizontalCentered="1" verticalCentered="1"/>
  <pageMargins left="0.25" right="0.25" top="0.75" bottom="0.75" header="0.3" footer="0.3"/>
  <pageSetup paperSize="9" scale="73" firstPageNumber="117" fitToWidth="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3"/>
    <pageSetUpPr fitToPage="1"/>
  </sheetPr>
  <dimension ref="F2:M25"/>
  <sheetViews>
    <sheetView rightToLeft="1" topLeftCell="G1" workbookViewId="0">
      <selection activeCell="G2" sqref="G2:L25"/>
    </sheetView>
  </sheetViews>
  <sheetFormatPr defaultColWidth="9" defaultRowHeight="18"/>
  <cols>
    <col min="1" max="5" width="0" style="549" hidden="1" customWidth="1"/>
    <col min="6" max="6" width="5.625" style="549" hidden="1" customWidth="1"/>
    <col min="7" max="7" width="12.625" style="549" customWidth="1"/>
    <col min="8" max="8" width="27.125" style="549" customWidth="1"/>
    <col min="9" max="9" width="16.25" style="549" customWidth="1"/>
    <col min="10" max="10" width="7.625" style="549" customWidth="1"/>
    <col min="11" max="11" width="17.875" style="549" customWidth="1"/>
    <col min="12" max="12" width="15" style="549" customWidth="1"/>
    <col min="13" max="16384" width="9" style="549"/>
  </cols>
  <sheetData>
    <row r="2" spans="7:12" ht="22.5" thickBot="1">
      <c r="G2" s="3572" t="s">
        <v>767</v>
      </c>
      <c r="H2" s="3572"/>
      <c r="I2" s="3572"/>
      <c r="J2" s="3572"/>
      <c r="K2" s="3572"/>
      <c r="L2" s="3572"/>
    </row>
    <row r="3" spans="7:12" ht="20.25" thickBot="1">
      <c r="G3" s="563" t="s">
        <v>339</v>
      </c>
      <c r="H3" s="564" t="s">
        <v>768</v>
      </c>
      <c r="I3" s="3573" t="s">
        <v>14</v>
      </c>
      <c r="J3" s="3573"/>
      <c r="K3" s="3573" t="s">
        <v>769</v>
      </c>
      <c r="L3" s="3573"/>
    </row>
    <row r="4" spans="7:12" ht="19.5" customHeight="1" thickBot="1">
      <c r="G4" s="565">
        <v>1</v>
      </c>
      <c r="H4" s="566" t="s">
        <v>770</v>
      </c>
      <c r="I4" s="3571">
        <v>13221065</v>
      </c>
      <c r="J4" s="3571"/>
      <c r="K4" s="3571">
        <v>7093807266</v>
      </c>
      <c r="L4" s="3571"/>
    </row>
    <row r="5" spans="7:12" ht="19.5" customHeight="1" thickBot="1">
      <c r="G5" s="567">
        <v>2</v>
      </c>
      <c r="H5" s="568" t="s">
        <v>771</v>
      </c>
      <c r="I5" s="3571">
        <v>6227315</v>
      </c>
      <c r="J5" s="3571"/>
      <c r="K5" s="3571">
        <v>506824843</v>
      </c>
      <c r="L5" s="3571"/>
    </row>
    <row r="6" spans="7:12" ht="15" customHeight="1" thickBot="1">
      <c r="G6" s="567">
        <v>3</v>
      </c>
      <c r="H6" s="568" t="s">
        <v>772</v>
      </c>
      <c r="I6" s="3571">
        <v>2445705</v>
      </c>
      <c r="J6" s="3571"/>
      <c r="K6" s="3571">
        <v>1688740688</v>
      </c>
      <c r="L6" s="3571"/>
    </row>
    <row r="7" spans="7:12" ht="15" customHeight="1" thickBot="1">
      <c r="G7" s="567">
        <v>4</v>
      </c>
      <c r="H7" s="568" t="s">
        <v>773</v>
      </c>
      <c r="I7" s="3571">
        <v>2011400</v>
      </c>
      <c r="J7" s="3571"/>
      <c r="K7" s="3571">
        <v>1822595802</v>
      </c>
      <c r="L7" s="3571"/>
    </row>
    <row r="8" spans="7:12" ht="15" customHeight="1" thickBot="1">
      <c r="G8" s="567">
        <v>5</v>
      </c>
      <c r="H8" s="568" t="s">
        <v>774</v>
      </c>
      <c r="I8" s="3571">
        <v>1949792</v>
      </c>
      <c r="J8" s="3571"/>
      <c r="K8" s="3571">
        <v>1508182758</v>
      </c>
      <c r="L8" s="3571"/>
    </row>
    <row r="9" spans="7:12" ht="15" customHeight="1" thickBot="1">
      <c r="G9" s="567">
        <v>6</v>
      </c>
      <c r="H9" s="568" t="s">
        <v>775</v>
      </c>
      <c r="I9" s="3571">
        <v>1670752</v>
      </c>
      <c r="J9" s="3571"/>
      <c r="K9" s="3571">
        <v>1023817688</v>
      </c>
      <c r="L9" s="3571"/>
    </row>
    <row r="10" spans="7:12" ht="15" customHeight="1" thickBot="1">
      <c r="G10" s="567">
        <v>7</v>
      </c>
      <c r="H10" s="568" t="s">
        <v>776</v>
      </c>
      <c r="I10" s="3571">
        <v>1904583</v>
      </c>
      <c r="J10" s="3571"/>
      <c r="K10" s="3571">
        <v>1209673777</v>
      </c>
      <c r="L10" s="3571"/>
    </row>
    <row r="11" spans="7:12" ht="19.5" customHeight="1" thickBot="1">
      <c r="G11" s="567">
        <v>8</v>
      </c>
      <c r="H11" s="568" t="s">
        <v>777</v>
      </c>
      <c r="I11" s="3571">
        <v>1140649</v>
      </c>
      <c r="J11" s="3571"/>
      <c r="K11" s="3571">
        <v>721154216</v>
      </c>
      <c r="L11" s="3571"/>
    </row>
    <row r="12" spans="7:12" ht="19.5" customHeight="1" thickBot="1">
      <c r="G12" s="567">
        <v>9</v>
      </c>
      <c r="H12" s="568" t="s">
        <v>778</v>
      </c>
      <c r="I12" s="3571">
        <v>918321</v>
      </c>
      <c r="J12" s="3571"/>
      <c r="K12" s="3571">
        <v>747004741</v>
      </c>
      <c r="L12" s="3571"/>
    </row>
    <row r="13" spans="7:12" ht="20.25" customHeight="1" thickBot="1">
      <c r="G13" s="567">
        <v>10</v>
      </c>
      <c r="H13" s="569" t="s">
        <v>779</v>
      </c>
      <c r="I13" s="3571">
        <v>294545</v>
      </c>
      <c r="J13" s="3571"/>
      <c r="K13" s="3571">
        <v>272266614</v>
      </c>
      <c r="L13" s="3571"/>
    </row>
    <row r="14" spans="7:12" ht="20.25" thickBot="1">
      <c r="G14" s="3574" t="s">
        <v>281</v>
      </c>
      <c r="H14" s="3575"/>
      <c r="I14" s="3576">
        <v>31784127</v>
      </c>
      <c r="J14" s="3577"/>
      <c r="K14" s="3577">
        <v>16594068393</v>
      </c>
      <c r="L14" s="3578"/>
    </row>
    <row r="15" spans="7:12" ht="19.5">
      <c r="G15" s="3586" t="s">
        <v>780</v>
      </c>
      <c r="H15" s="3586"/>
      <c r="I15" s="3586"/>
      <c r="J15" s="3586"/>
      <c r="K15" s="77"/>
      <c r="L15" s="77"/>
    </row>
    <row r="16" spans="7:12">
      <c r="G16" s="77"/>
      <c r="H16" s="77"/>
      <c r="I16" s="77"/>
      <c r="J16" s="77"/>
      <c r="K16" s="77"/>
      <c r="L16" s="77"/>
    </row>
    <row r="17" spans="7:13" ht="22.5" thickBot="1">
      <c r="G17" s="3587" t="s">
        <v>781</v>
      </c>
      <c r="H17" s="3587"/>
      <c r="I17" s="3587"/>
      <c r="J17" s="3587"/>
      <c r="K17" s="3587"/>
      <c r="L17" s="3587"/>
    </row>
    <row r="18" spans="7:13" ht="21.75" thickBot="1">
      <c r="G18" s="3588" t="s">
        <v>486</v>
      </c>
      <c r="H18" s="3589"/>
      <c r="I18" s="3589"/>
      <c r="J18" s="570" t="s">
        <v>2</v>
      </c>
      <c r="K18" s="571" t="s">
        <v>782</v>
      </c>
      <c r="L18" s="572" t="s">
        <v>783</v>
      </c>
    </row>
    <row r="19" spans="7:13" ht="20.25" thickBot="1">
      <c r="G19" s="3590" t="s">
        <v>784</v>
      </c>
      <c r="H19" s="3591"/>
      <c r="I19" s="3592"/>
      <c r="J19" s="573" t="s">
        <v>785</v>
      </c>
      <c r="K19" s="574">
        <f>(I14-I4)/1000</f>
        <v>18563.062000000002</v>
      </c>
      <c r="L19" s="575">
        <f>I4/1000</f>
        <v>13221.065000000001</v>
      </c>
      <c r="M19" s="576"/>
    </row>
    <row r="20" spans="7:13" ht="20.25" thickBot="1">
      <c r="G20" s="3579" t="s">
        <v>786</v>
      </c>
      <c r="H20" s="3580"/>
      <c r="I20" s="3581"/>
      <c r="J20" s="577" t="s">
        <v>785</v>
      </c>
      <c r="K20" s="574">
        <v>20816</v>
      </c>
      <c r="L20" s="575">
        <v>15149</v>
      </c>
      <c r="M20" s="576"/>
    </row>
    <row r="21" spans="7:13" ht="20.25" thickBot="1">
      <c r="G21" s="3579" t="s">
        <v>787</v>
      </c>
      <c r="H21" s="3580"/>
      <c r="I21" s="3581"/>
      <c r="J21" s="577" t="s">
        <v>788</v>
      </c>
      <c r="K21" s="574">
        <f>(K14-K4)/1000000</f>
        <v>9500.2611269999998</v>
      </c>
      <c r="L21" s="575">
        <f>K4/1000000</f>
        <v>7093.8072659999998</v>
      </c>
      <c r="M21" s="576"/>
    </row>
    <row r="22" spans="7:13" ht="20.25" thickBot="1">
      <c r="G22" s="3579" t="s">
        <v>789</v>
      </c>
      <c r="H22" s="3580"/>
      <c r="I22" s="3581"/>
      <c r="J22" s="577" t="s">
        <v>788</v>
      </c>
      <c r="K22" s="574">
        <v>10650</v>
      </c>
      <c r="L22" s="575">
        <v>7960</v>
      </c>
      <c r="M22" s="576"/>
    </row>
    <row r="23" spans="7:13" ht="19.5">
      <c r="G23" s="3579" t="s">
        <v>790</v>
      </c>
      <c r="H23" s="3580"/>
      <c r="I23" s="3581"/>
      <c r="J23" s="577" t="s">
        <v>791</v>
      </c>
      <c r="K23" s="574">
        <v>38667</v>
      </c>
      <c r="L23" s="575">
        <v>33509</v>
      </c>
      <c r="M23" s="576"/>
    </row>
    <row r="24" spans="7:13" ht="20.25" thickBot="1">
      <c r="G24" s="3582" t="s">
        <v>792</v>
      </c>
      <c r="H24" s="3583"/>
      <c r="I24" s="3584"/>
      <c r="J24" s="578" t="s">
        <v>793</v>
      </c>
      <c r="K24" s="579">
        <f>K19/K20</f>
        <v>0.8917689277478863</v>
      </c>
      <c r="L24" s="580">
        <f>L19/L20</f>
        <v>0.87273516403723017</v>
      </c>
      <c r="M24" s="576"/>
    </row>
    <row r="25" spans="7:13">
      <c r="G25" s="3585" t="s">
        <v>780</v>
      </c>
      <c r="H25" s="3585"/>
      <c r="I25" s="3585"/>
      <c r="J25" s="3585"/>
    </row>
  </sheetData>
  <mergeCells count="36">
    <mergeCell ref="G22:I22"/>
    <mergeCell ref="G23:I23"/>
    <mergeCell ref="G24:I24"/>
    <mergeCell ref="G25:J25"/>
    <mergeCell ref="G15:J15"/>
    <mergeCell ref="G17:L17"/>
    <mergeCell ref="G18:I18"/>
    <mergeCell ref="G19:I19"/>
    <mergeCell ref="G20:I20"/>
    <mergeCell ref="G21:I21"/>
    <mergeCell ref="I12:J12"/>
    <mergeCell ref="K12:L12"/>
    <mergeCell ref="I13:J13"/>
    <mergeCell ref="K13:L13"/>
    <mergeCell ref="G14:H14"/>
    <mergeCell ref="I14:J14"/>
    <mergeCell ref="K14:L14"/>
    <mergeCell ref="I9:J9"/>
    <mergeCell ref="K9:L9"/>
    <mergeCell ref="I10:J10"/>
    <mergeCell ref="K10:L10"/>
    <mergeCell ref="I11:J11"/>
    <mergeCell ref="K11:L11"/>
    <mergeCell ref="I6:J6"/>
    <mergeCell ref="K6:L6"/>
    <mergeCell ref="I7:J7"/>
    <mergeCell ref="K7:L7"/>
    <mergeCell ref="I8:J8"/>
    <mergeCell ref="K8:L8"/>
    <mergeCell ref="I5:J5"/>
    <mergeCell ref="K5:L5"/>
    <mergeCell ref="G2:L2"/>
    <mergeCell ref="I3:J3"/>
    <mergeCell ref="K3:L3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00B050"/>
  </sheetPr>
  <dimension ref="A1:J45"/>
  <sheetViews>
    <sheetView rightToLeft="1" topLeftCell="A12" zoomScale="86" zoomScaleNormal="86" workbookViewId="0">
      <selection activeCell="E1" sqref="A1:E45"/>
    </sheetView>
  </sheetViews>
  <sheetFormatPr defaultColWidth="8" defaultRowHeight="15.75"/>
  <cols>
    <col min="1" max="1" width="13" style="19" customWidth="1"/>
    <col min="2" max="2" width="18.125" style="19" customWidth="1"/>
    <col min="3" max="3" width="23.625" style="19" customWidth="1"/>
    <col min="4" max="4" width="22.875" style="19" customWidth="1"/>
    <col min="5" max="5" width="16.75" style="19" customWidth="1"/>
    <col min="6" max="6" width="12" style="19" customWidth="1"/>
    <col min="7" max="16384" width="8" style="19"/>
  </cols>
  <sheetData>
    <row r="1" spans="1:5" ht="20.25" customHeight="1"/>
    <row r="2" spans="1:5" ht="20.25" customHeight="1"/>
    <row r="3" spans="1:5" ht="20.25" customHeight="1"/>
    <row r="4" spans="1:5" ht="20.25" customHeight="1"/>
    <row r="5" spans="1:5" ht="20.25" customHeight="1"/>
    <row r="6" spans="1:5" ht="20.25" customHeight="1"/>
    <row r="7" spans="1:5" ht="20.25" customHeight="1"/>
    <row r="8" spans="1:5" ht="20.25" customHeight="1"/>
    <row r="9" spans="1:5" ht="20.25" customHeight="1"/>
    <row r="10" spans="1:5" ht="20.25" customHeight="1"/>
    <row r="11" spans="1:5" ht="20.25" customHeight="1"/>
    <row r="12" spans="1:5" ht="20.25" customHeight="1"/>
    <row r="13" spans="1:5" ht="20.25" customHeight="1"/>
    <row r="14" spans="1:5" ht="20.25" customHeight="1"/>
    <row r="15" spans="1:5" ht="20.25" customHeight="1"/>
    <row r="16" spans="1:5" ht="22.5" customHeight="1" thickBot="1">
      <c r="A16" s="3595" t="s">
        <v>1111</v>
      </c>
      <c r="B16" s="3595"/>
      <c r="C16" s="3595"/>
      <c r="D16" s="3595"/>
      <c r="E16" s="3595"/>
    </row>
    <row r="17" spans="1:10" ht="15.75" customHeight="1">
      <c r="A17" s="3057" t="s">
        <v>1</v>
      </c>
      <c r="B17" s="3059"/>
      <c r="C17" s="3596" t="s">
        <v>283</v>
      </c>
      <c r="D17" s="3597"/>
      <c r="E17" s="3598" t="s">
        <v>825</v>
      </c>
    </row>
    <row r="18" spans="1:10" ht="15.75" customHeight="1" thickBot="1">
      <c r="A18" s="3051"/>
      <c r="B18" s="3053"/>
      <c r="C18" s="1083">
        <v>1401</v>
      </c>
      <c r="D18" s="1083">
        <v>1402</v>
      </c>
      <c r="E18" s="3599"/>
    </row>
    <row r="19" spans="1:10" ht="15.75" customHeight="1">
      <c r="A19" s="3057" t="s">
        <v>1110</v>
      </c>
      <c r="B19" s="3059"/>
      <c r="C19" s="1082">
        <v>0</v>
      </c>
      <c r="D19" s="1082">
        <v>0</v>
      </c>
      <c r="E19" s="1081" t="s">
        <v>95</v>
      </c>
    </row>
    <row r="20" spans="1:10" ht="15.75" customHeight="1">
      <c r="A20" s="3051" t="s">
        <v>1109</v>
      </c>
      <c r="B20" s="3053"/>
      <c r="C20" s="1080">
        <v>1269</v>
      </c>
      <c r="D20" s="1080">
        <v>1285</v>
      </c>
      <c r="E20" s="659">
        <f>(D20-C20)/C20</f>
        <v>1.260835303388495E-2</v>
      </c>
    </row>
    <row r="21" spans="1:10" ht="15.75" customHeight="1" thickBot="1">
      <c r="A21" s="3060" t="s">
        <v>1108</v>
      </c>
      <c r="B21" s="3062"/>
      <c r="C21" s="1079">
        <v>45</v>
      </c>
      <c r="D21" s="1079">
        <v>47</v>
      </c>
      <c r="E21" s="653">
        <f>(D21-C21)/C21</f>
        <v>4.4444444444444446E-2</v>
      </c>
    </row>
    <row r="22" spans="1:10" ht="7.5" customHeight="1">
      <c r="A22" s="341"/>
      <c r="B22" s="341"/>
      <c r="C22" s="301"/>
      <c r="D22" s="301"/>
      <c r="E22" s="1078"/>
    </row>
    <row r="23" spans="1:10" ht="22.5" customHeight="1" thickBot="1">
      <c r="A23" s="3600" t="s">
        <v>1107</v>
      </c>
      <c r="B23" s="3600"/>
      <c r="C23" s="3600"/>
      <c r="D23" s="3600"/>
      <c r="E23" s="3600"/>
      <c r="I23" s="19" t="s">
        <v>302</v>
      </c>
    </row>
    <row r="24" spans="1:10" ht="29.25" customHeight="1" thickBot="1">
      <c r="A24" s="3601" t="s">
        <v>1106</v>
      </c>
      <c r="B24" s="3602"/>
      <c r="C24" s="1077" t="s">
        <v>1105</v>
      </c>
      <c r="D24" s="190" t="s">
        <v>1104</v>
      </c>
      <c r="E24" s="1076" t="s">
        <v>910</v>
      </c>
      <c r="F24" s="341"/>
      <c r="G24" s="341"/>
      <c r="H24" s="341"/>
      <c r="J24" s="19" t="s">
        <v>302</v>
      </c>
    </row>
    <row r="25" spans="1:10" ht="15.75" customHeight="1">
      <c r="A25" s="3603" t="s">
        <v>68</v>
      </c>
      <c r="B25" s="3604"/>
      <c r="C25" s="1073">
        <v>0</v>
      </c>
      <c r="D25" s="1075">
        <v>7</v>
      </c>
      <c r="E25" s="1075">
        <v>0</v>
      </c>
      <c r="F25" s="1068"/>
      <c r="G25" s="301"/>
    </row>
    <row r="26" spans="1:10" ht="15.75" customHeight="1">
      <c r="A26" s="3593" t="s">
        <v>69</v>
      </c>
      <c r="B26" s="3594"/>
      <c r="C26" s="1073">
        <v>0</v>
      </c>
      <c r="D26" s="1074">
        <v>0</v>
      </c>
      <c r="E26" s="1074">
        <v>0</v>
      </c>
      <c r="F26" s="1068"/>
      <c r="G26" s="301"/>
    </row>
    <row r="27" spans="1:10" ht="15.75" customHeight="1">
      <c r="A27" s="3593" t="s">
        <v>70</v>
      </c>
      <c r="B27" s="3594"/>
      <c r="C27" s="1073">
        <v>0</v>
      </c>
      <c r="D27" s="1074">
        <v>0</v>
      </c>
      <c r="E27" s="1074">
        <v>0</v>
      </c>
      <c r="F27" s="1068"/>
      <c r="G27" s="301"/>
    </row>
    <row r="28" spans="1:10" ht="15.75" customHeight="1">
      <c r="A28" s="3593" t="s">
        <v>71</v>
      </c>
      <c r="B28" s="3594"/>
      <c r="C28" s="1073">
        <v>0</v>
      </c>
      <c r="D28" s="1074">
        <v>915</v>
      </c>
      <c r="E28" s="1074">
        <v>47</v>
      </c>
      <c r="F28" s="1068"/>
      <c r="G28" s="301"/>
    </row>
    <row r="29" spans="1:10" ht="15.75" customHeight="1">
      <c r="A29" s="3593" t="s">
        <v>72</v>
      </c>
      <c r="B29" s="3594"/>
      <c r="C29" s="1073">
        <v>0</v>
      </c>
      <c r="D29" s="1074">
        <v>0</v>
      </c>
      <c r="E29" s="1074">
        <v>0</v>
      </c>
      <c r="F29" s="1068"/>
      <c r="G29" s="301"/>
    </row>
    <row r="30" spans="1:10" ht="15.75" customHeight="1">
      <c r="A30" s="3593" t="s">
        <v>1103</v>
      </c>
      <c r="B30" s="3594"/>
      <c r="C30" s="1073">
        <v>0</v>
      </c>
      <c r="D30" s="1074">
        <v>0</v>
      </c>
      <c r="E30" s="1074">
        <v>0</v>
      </c>
      <c r="F30" s="1068"/>
      <c r="G30" s="301"/>
    </row>
    <row r="31" spans="1:10" ht="15.75" customHeight="1">
      <c r="A31" s="3593" t="s">
        <v>1102</v>
      </c>
      <c r="B31" s="3594"/>
      <c r="C31" s="1073">
        <v>0</v>
      </c>
      <c r="D31" s="1074">
        <v>0</v>
      </c>
      <c r="E31" s="1074">
        <v>0</v>
      </c>
      <c r="F31" s="1068"/>
      <c r="G31" s="301"/>
    </row>
    <row r="32" spans="1:10" ht="15.75" customHeight="1">
      <c r="A32" s="3593" t="s">
        <v>76</v>
      </c>
      <c r="B32" s="3594"/>
      <c r="C32" s="1073">
        <v>0</v>
      </c>
      <c r="D32" s="1074">
        <v>232</v>
      </c>
      <c r="E32" s="1074">
        <v>0</v>
      </c>
      <c r="F32" s="1068"/>
      <c r="G32" s="301"/>
    </row>
    <row r="33" spans="1:7" ht="15.75" customHeight="1">
      <c r="A33" s="3593" t="s">
        <v>1101</v>
      </c>
      <c r="B33" s="3594"/>
      <c r="C33" s="1073">
        <v>0</v>
      </c>
      <c r="D33" s="1074">
        <v>0</v>
      </c>
      <c r="E33" s="1074">
        <v>0</v>
      </c>
      <c r="F33" s="1068"/>
      <c r="G33" s="301"/>
    </row>
    <row r="34" spans="1:7" ht="15.75" customHeight="1">
      <c r="A34" s="3593" t="s">
        <v>78</v>
      </c>
      <c r="B34" s="3594"/>
      <c r="C34" s="1073">
        <v>0</v>
      </c>
      <c r="D34" s="1074">
        <v>0</v>
      </c>
      <c r="E34" s="1074">
        <v>0</v>
      </c>
      <c r="F34" s="1068"/>
      <c r="G34" s="301"/>
    </row>
    <row r="35" spans="1:7" ht="15.75" customHeight="1">
      <c r="A35" s="3593" t="s">
        <v>79</v>
      </c>
      <c r="B35" s="3594"/>
      <c r="C35" s="1073">
        <v>0</v>
      </c>
      <c r="D35" s="1074">
        <v>0</v>
      </c>
      <c r="E35" s="1074">
        <v>0</v>
      </c>
      <c r="F35" s="1068"/>
      <c r="G35" s="301"/>
    </row>
    <row r="36" spans="1:7" ht="15.75" customHeight="1">
      <c r="A36" s="3593" t="s">
        <v>402</v>
      </c>
      <c r="B36" s="3594"/>
      <c r="C36" s="1073">
        <v>0</v>
      </c>
      <c r="D36" s="1074">
        <v>0</v>
      </c>
      <c r="E36" s="1074">
        <v>0</v>
      </c>
      <c r="F36" s="1068"/>
      <c r="G36" s="301"/>
    </row>
    <row r="37" spans="1:7" ht="15.75" customHeight="1">
      <c r="A37" s="3593" t="s">
        <v>82</v>
      </c>
      <c r="B37" s="3594"/>
      <c r="C37" s="1073">
        <v>0</v>
      </c>
      <c r="D37" s="1074">
        <v>0</v>
      </c>
      <c r="E37" s="1074">
        <v>0</v>
      </c>
      <c r="F37" s="1068"/>
      <c r="G37" s="301"/>
    </row>
    <row r="38" spans="1:7" ht="15.75" customHeight="1">
      <c r="A38" s="3593" t="s">
        <v>81</v>
      </c>
      <c r="B38" s="3594"/>
      <c r="C38" s="1073">
        <v>0</v>
      </c>
      <c r="D38" s="1074">
        <v>131</v>
      </c>
      <c r="E38" s="1074">
        <v>0</v>
      </c>
      <c r="F38" s="1068"/>
      <c r="G38" s="301"/>
    </row>
    <row r="39" spans="1:7" ht="15.75" customHeight="1">
      <c r="A39" s="3593" t="s">
        <v>83</v>
      </c>
      <c r="B39" s="3594"/>
      <c r="C39" s="1073">
        <v>0</v>
      </c>
      <c r="D39" s="1074">
        <v>0</v>
      </c>
      <c r="E39" s="1074">
        <v>0</v>
      </c>
      <c r="F39" s="1068"/>
      <c r="G39" s="301"/>
    </row>
    <row r="40" spans="1:7" ht="15.75" customHeight="1">
      <c r="A40" s="3593" t="s">
        <v>84</v>
      </c>
      <c r="B40" s="3594"/>
      <c r="C40" s="1073">
        <v>0</v>
      </c>
      <c r="D40" s="1074">
        <v>0</v>
      </c>
      <c r="E40" s="1074">
        <v>0</v>
      </c>
      <c r="F40" s="1068"/>
      <c r="G40" s="301"/>
    </row>
    <row r="41" spans="1:7" ht="15.75" customHeight="1">
      <c r="A41" s="3593" t="s">
        <v>1100</v>
      </c>
      <c r="B41" s="3594"/>
      <c r="C41" s="1073">
        <v>0</v>
      </c>
      <c r="D41" s="1074">
        <v>0</v>
      </c>
      <c r="E41" s="1074">
        <v>0</v>
      </c>
      <c r="F41" s="1068"/>
      <c r="G41" s="301"/>
    </row>
    <row r="42" spans="1:7" ht="15.75" customHeight="1">
      <c r="A42" s="3593" t="s">
        <v>86</v>
      </c>
      <c r="B42" s="3594"/>
      <c r="C42" s="1073">
        <v>0</v>
      </c>
      <c r="D42" s="1074">
        <v>0</v>
      </c>
      <c r="E42" s="1074">
        <v>0</v>
      </c>
      <c r="F42" s="1068"/>
      <c r="G42" s="301"/>
    </row>
    <row r="43" spans="1:7" ht="15.75" customHeight="1" thickBot="1">
      <c r="A43" s="3605" t="s">
        <v>87</v>
      </c>
      <c r="B43" s="3606"/>
      <c r="C43" s="1073">
        <v>0</v>
      </c>
      <c r="D43" s="1072">
        <v>0</v>
      </c>
      <c r="E43" s="1072">
        <v>0</v>
      </c>
      <c r="F43" s="1068"/>
      <c r="G43" s="301"/>
    </row>
    <row r="44" spans="1:7" ht="22.5" customHeight="1" thickBot="1">
      <c r="A44" s="3601" t="s">
        <v>49</v>
      </c>
      <c r="B44" s="3602"/>
      <c r="C44" s="1071">
        <f>SUM(C25:C43)</f>
        <v>0</v>
      </c>
      <c r="D44" s="1070">
        <f>SUM(D25:D43)</f>
        <v>1285</v>
      </c>
      <c r="E44" s="1069">
        <f>SUM(E25:E43)</f>
        <v>47</v>
      </c>
      <c r="F44" s="1068"/>
      <c r="G44" s="301"/>
    </row>
    <row r="45" spans="1:7" ht="15.75" customHeight="1">
      <c r="A45" s="19" t="s">
        <v>1084</v>
      </c>
    </row>
  </sheetData>
  <mergeCells count="29">
    <mergeCell ref="A40:B40"/>
    <mergeCell ref="A41:B41"/>
    <mergeCell ref="A42:B42"/>
    <mergeCell ref="A43:B43"/>
    <mergeCell ref="A44:B44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E16"/>
    <mergeCell ref="A17:B18"/>
    <mergeCell ref="C17:D17"/>
    <mergeCell ref="E17:E18"/>
    <mergeCell ref="A19:B19"/>
    <mergeCell ref="A20:B20"/>
    <mergeCell ref="A21:B21"/>
    <mergeCell ref="A23:E23"/>
    <mergeCell ref="A24:B24"/>
    <mergeCell ref="A25:B25"/>
    <mergeCell ref="A26:B26"/>
  </mergeCells>
  <printOptions horizontalCentered="1" verticalCentered="1"/>
  <pageMargins left="0.78740157480314965" right="0.78740157480314965" top="0.78740157480314965" bottom="0.78740157480314965" header="0" footer="0.51181102362204722"/>
  <pageSetup paperSize="9" scale="80" firstPageNumber="126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3"/>
  </sheetPr>
  <dimension ref="A1:GUC912"/>
  <sheetViews>
    <sheetView rightToLeft="1" topLeftCell="A13" workbookViewId="0">
      <selection activeCell="F1" sqref="A1:F31"/>
    </sheetView>
  </sheetViews>
  <sheetFormatPr defaultColWidth="10.375" defaultRowHeight="14.25"/>
  <cols>
    <col min="1" max="1" width="7" style="581" customWidth="1"/>
    <col min="2" max="2" width="27.375" style="581" customWidth="1"/>
    <col min="3" max="3" width="17.75" style="615" customWidth="1"/>
    <col min="4" max="4" width="16.25" style="581" customWidth="1"/>
    <col min="5" max="5" width="15.125" style="581" customWidth="1"/>
    <col min="6" max="6" width="18.625" style="581" customWidth="1"/>
    <col min="7" max="7" width="27.875" style="581" customWidth="1"/>
    <col min="8" max="10" width="18.625" style="581" customWidth="1"/>
    <col min="11" max="63" width="3.375" style="581" bestFit="1" customWidth="1"/>
    <col min="64" max="167" width="4.625" style="581" bestFit="1" customWidth="1"/>
    <col min="168" max="168" width="13.625" style="581" bestFit="1" customWidth="1"/>
    <col min="169" max="169" width="7.625" style="581" bestFit="1" customWidth="1"/>
    <col min="170" max="177" width="2.25" style="581" bestFit="1" customWidth="1"/>
    <col min="178" max="267" width="3.375" style="581" bestFit="1" customWidth="1"/>
    <col min="268" max="1155" width="4.625" style="581" bestFit="1" customWidth="1"/>
    <col min="1156" max="3436" width="5.75" style="581" bestFit="1" customWidth="1"/>
    <col min="3437" max="3551" width="6.875" style="581" bestFit="1" customWidth="1"/>
    <col min="3552" max="3552" width="11.125" style="581" bestFit="1" customWidth="1"/>
    <col min="3553" max="3553" width="12.25" style="581" bestFit="1" customWidth="1"/>
    <col min="3554" max="3562" width="2.25" style="581" bestFit="1" customWidth="1"/>
    <col min="3563" max="3652" width="3.375" style="581" bestFit="1" customWidth="1"/>
    <col min="3653" max="4442" width="4.625" style="581" bestFit="1" customWidth="1"/>
    <col min="4443" max="4812" width="5.75" style="581" bestFit="1" customWidth="1"/>
    <col min="4813" max="4917" width="6.875" style="581" bestFit="1" customWidth="1"/>
    <col min="4918" max="4918" width="16" style="581" bestFit="1" customWidth="1"/>
    <col min="4919" max="4919" width="7" style="581" bestFit="1" customWidth="1"/>
    <col min="4920" max="4927" width="2.25" style="581" bestFit="1" customWidth="1"/>
    <col min="4928" max="5017" width="3.375" style="581" bestFit="1" customWidth="1"/>
    <col min="5018" max="5268" width="4.625" style="581" bestFit="1" customWidth="1"/>
    <col min="5269" max="5279" width="5.75" style="581" bestFit="1" customWidth="1"/>
    <col min="5280" max="5280" width="10.625" style="581" bestFit="1" customWidth="1"/>
    <col min="5281" max="5281" width="13.375" style="581" bestFit="1" customWidth="1"/>
    <col min="5282" max="16384" width="10.375" style="581"/>
  </cols>
  <sheetData>
    <row r="1" spans="1:5281" ht="12.75">
      <c r="B1" s="582"/>
      <c r="C1" s="582"/>
    </row>
    <row r="2" spans="1:5281" ht="22.5" thickBot="1">
      <c r="B2" s="3607" t="s">
        <v>794</v>
      </c>
      <c r="C2" s="3607"/>
      <c r="D2" s="3607"/>
      <c r="E2" s="3607"/>
      <c r="F2" s="3607"/>
    </row>
    <row r="3" spans="1:5281" ht="21.75" thickBot="1">
      <c r="A3" s="583" t="s">
        <v>795</v>
      </c>
      <c r="B3" s="584" t="s">
        <v>796</v>
      </c>
      <c r="C3" s="585" t="s">
        <v>725</v>
      </c>
      <c r="D3" s="586" t="s">
        <v>726</v>
      </c>
      <c r="E3" s="587" t="s">
        <v>718</v>
      </c>
      <c r="F3" s="588" t="s">
        <v>49</v>
      </c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582"/>
      <c r="CZ3" s="582"/>
      <c r="DA3" s="582"/>
      <c r="DB3" s="582"/>
      <c r="DC3" s="582"/>
      <c r="DD3" s="582"/>
      <c r="DE3" s="582"/>
      <c r="DF3" s="582"/>
      <c r="DG3" s="582"/>
      <c r="DH3" s="582"/>
      <c r="DI3" s="582"/>
      <c r="DJ3" s="582"/>
      <c r="DK3" s="582"/>
      <c r="DL3" s="582"/>
      <c r="DM3" s="582"/>
      <c r="DN3" s="582"/>
      <c r="DO3" s="582"/>
      <c r="DP3" s="582"/>
      <c r="DQ3" s="582"/>
      <c r="DR3" s="582"/>
      <c r="DS3" s="582"/>
      <c r="DT3" s="582"/>
      <c r="DU3" s="582"/>
      <c r="DV3" s="582"/>
      <c r="DW3" s="582"/>
      <c r="DX3" s="582"/>
      <c r="DY3" s="582"/>
      <c r="DZ3" s="582"/>
      <c r="EA3" s="582"/>
      <c r="EB3" s="582"/>
      <c r="EC3" s="582"/>
      <c r="ED3" s="582"/>
      <c r="EE3" s="582"/>
      <c r="EF3" s="582"/>
      <c r="EG3" s="582"/>
      <c r="EH3" s="582"/>
      <c r="EI3" s="582"/>
      <c r="EJ3" s="582"/>
      <c r="EK3" s="582"/>
      <c r="EL3" s="582"/>
      <c r="EM3" s="582"/>
      <c r="EN3" s="582"/>
      <c r="EO3" s="582"/>
      <c r="EP3" s="582"/>
      <c r="EQ3" s="582"/>
      <c r="ER3" s="582"/>
      <c r="ES3" s="582"/>
      <c r="ET3" s="582"/>
      <c r="EU3" s="582"/>
      <c r="EV3" s="582"/>
      <c r="EW3" s="582"/>
      <c r="EX3" s="582"/>
      <c r="EY3" s="582"/>
      <c r="EZ3" s="582"/>
      <c r="FA3" s="582"/>
      <c r="FB3" s="582"/>
      <c r="FC3" s="582"/>
      <c r="FD3" s="582"/>
      <c r="FE3" s="582"/>
      <c r="FF3" s="582"/>
      <c r="FG3" s="582"/>
      <c r="FH3" s="582"/>
      <c r="FI3" s="582"/>
      <c r="FJ3" s="582"/>
      <c r="FK3" s="582"/>
      <c r="FL3" s="582"/>
      <c r="FM3" s="582"/>
      <c r="FN3" s="582"/>
      <c r="FO3" s="582"/>
      <c r="FP3" s="582"/>
      <c r="FQ3" s="582"/>
      <c r="FR3" s="582"/>
      <c r="FS3" s="582"/>
      <c r="FT3" s="582"/>
      <c r="FU3" s="582"/>
      <c r="FV3" s="582"/>
      <c r="FW3" s="582"/>
      <c r="FX3" s="582"/>
      <c r="FY3" s="582"/>
      <c r="FZ3" s="582"/>
      <c r="GA3" s="582"/>
      <c r="GB3" s="582"/>
      <c r="GC3" s="582"/>
      <c r="GD3" s="582"/>
      <c r="GE3" s="582"/>
      <c r="GF3" s="582"/>
      <c r="GG3" s="582"/>
      <c r="GH3" s="582"/>
      <c r="GI3" s="582"/>
      <c r="GJ3" s="582"/>
      <c r="GK3" s="582"/>
      <c r="GL3" s="582"/>
      <c r="GM3" s="582"/>
      <c r="GN3" s="582"/>
      <c r="GO3" s="582"/>
      <c r="GP3" s="582"/>
      <c r="GQ3" s="582"/>
      <c r="GR3" s="582"/>
      <c r="GS3" s="582"/>
      <c r="GT3" s="582"/>
      <c r="GU3" s="582"/>
      <c r="GV3" s="582"/>
      <c r="GW3" s="582"/>
      <c r="GX3" s="582"/>
      <c r="GY3" s="582"/>
      <c r="GZ3" s="582"/>
      <c r="HA3" s="582"/>
      <c r="HB3" s="582"/>
      <c r="HC3" s="582"/>
      <c r="HD3" s="582"/>
      <c r="HE3" s="582"/>
      <c r="HF3" s="582"/>
      <c r="HG3" s="582"/>
      <c r="HH3" s="582"/>
      <c r="HI3" s="582"/>
      <c r="HJ3" s="582"/>
      <c r="HK3" s="582"/>
      <c r="HL3" s="582"/>
      <c r="HM3" s="582"/>
      <c r="HN3" s="582"/>
      <c r="HO3" s="582"/>
      <c r="HP3" s="582"/>
      <c r="HQ3" s="582"/>
      <c r="HR3" s="582"/>
      <c r="HS3" s="582"/>
      <c r="HT3" s="582"/>
      <c r="HU3" s="582"/>
      <c r="HV3" s="582"/>
      <c r="HW3" s="582"/>
      <c r="HX3" s="582"/>
      <c r="HY3" s="582"/>
      <c r="HZ3" s="582"/>
      <c r="IA3" s="582"/>
      <c r="IB3" s="582"/>
      <c r="IC3" s="582"/>
      <c r="ID3" s="582"/>
      <c r="IE3" s="582"/>
      <c r="IF3" s="582"/>
      <c r="IG3" s="582"/>
      <c r="IH3" s="582"/>
      <c r="II3" s="582"/>
      <c r="IJ3" s="582"/>
      <c r="IK3" s="582"/>
      <c r="IL3" s="582"/>
      <c r="IM3" s="582"/>
      <c r="IN3" s="582"/>
      <c r="IO3" s="582"/>
      <c r="IP3" s="582"/>
      <c r="IQ3" s="582"/>
      <c r="IR3" s="582"/>
      <c r="IS3" s="582"/>
      <c r="IT3" s="582"/>
      <c r="IU3" s="582"/>
      <c r="IV3" s="582"/>
      <c r="IW3" s="582"/>
      <c r="IX3" s="582"/>
      <c r="IY3" s="582"/>
      <c r="IZ3" s="582"/>
      <c r="JA3" s="582"/>
      <c r="JB3" s="582"/>
      <c r="JC3" s="582"/>
      <c r="JD3" s="582"/>
      <c r="JE3" s="582"/>
      <c r="JF3" s="582"/>
      <c r="JG3" s="582"/>
      <c r="JH3" s="582"/>
      <c r="JI3" s="582"/>
      <c r="JJ3" s="582"/>
      <c r="JK3" s="582"/>
      <c r="JL3" s="582"/>
      <c r="JM3" s="582"/>
      <c r="JN3" s="582"/>
      <c r="JO3" s="582"/>
      <c r="JP3" s="582"/>
      <c r="JQ3" s="582"/>
      <c r="JR3" s="582"/>
      <c r="JS3" s="582"/>
      <c r="JT3" s="582"/>
      <c r="JU3" s="582"/>
      <c r="JV3" s="582"/>
      <c r="JW3" s="582"/>
      <c r="JX3" s="582"/>
      <c r="JY3" s="582"/>
      <c r="JZ3" s="582"/>
      <c r="KA3" s="582"/>
      <c r="KB3" s="582"/>
      <c r="KC3" s="582"/>
      <c r="KD3" s="582"/>
      <c r="KE3" s="582"/>
      <c r="KF3" s="582"/>
      <c r="KG3" s="582"/>
      <c r="KH3" s="582"/>
      <c r="KI3" s="582"/>
      <c r="KJ3" s="582"/>
      <c r="KK3" s="582"/>
      <c r="KL3" s="582"/>
      <c r="KM3" s="582"/>
      <c r="KN3" s="582"/>
      <c r="KO3" s="582"/>
      <c r="KP3" s="582"/>
      <c r="KQ3" s="582"/>
      <c r="KR3" s="582"/>
      <c r="KS3" s="582"/>
      <c r="KT3" s="582"/>
      <c r="KU3" s="582"/>
      <c r="KV3" s="582"/>
      <c r="KW3" s="582"/>
      <c r="KX3" s="582"/>
      <c r="KY3" s="582"/>
      <c r="KZ3" s="582"/>
      <c r="LA3" s="582"/>
      <c r="LB3" s="582"/>
      <c r="LC3" s="582"/>
      <c r="LD3" s="582"/>
      <c r="LE3" s="582"/>
      <c r="LF3" s="582"/>
      <c r="LG3" s="582"/>
      <c r="LH3" s="582"/>
      <c r="LI3" s="582"/>
      <c r="LJ3" s="582"/>
      <c r="LK3" s="582"/>
      <c r="LL3" s="582"/>
      <c r="LM3" s="582"/>
      <c r="LN3" s="582"/>
      <c r="LO3" s="582"/>
      <c r="LP3" s="582"/>
      <c r="LQ3" s="582"/>
      <c r="LR3" s="582"/>
      <c r="LS3" s="582"/>
      <c r="LT3" s="582"/>
      <c r="LU3" s="582"/>
      <c r="LV3" s="582"/>
      <c r="LW3" s="582"/>
      <c r="LX3" s="582"/>
      <c r="LY3" s="582"/>
      <c r="LZ3" s="582"/>
      <c r="MA3" s="582"/>
      <c r="MB3" s="582"/>
      <c r="MC3" s="582"/>
      <c r="MD3" s="582"/>
      <c r="ME3" s="582"/>
      <c r="MF3" s="582"/>
      <c r="MG3" s="582"/>
      <c r="MH3" s="582"/>
      <c r="MI3" s="582"/>
      <c r="MJ3" s="582"/>
      <c r="MK3" s="582"/>
      <c r="ML3" s="582"/>
      <c r="MM3" s="582"/>
      <c r="MN3" s="582"/>
      <c r="MO3" s="582"/>
      <c r="MP3" s="582"/>
      <c r="MQ3" s="582"/>
      <c r="MR3" s="582"/>
      <c r="MS3" s="582"/>
      <c r="MT3" s="582"/>
      <c r="MU3" s="582"/>
      <c r="MV3" s="582"/>
      <c r="MW3" s="582"/>
      <c r="MX3" s="582"/>
      <c r="MY3" s="582"/>
      <c r="MZ3" s="582"/>
      <c r="NA3" s="582"/>
      <c r="NB3" s="582"/>
      <c r="NC3" s="582"/>
      <c r="ND3" s="582"/>
      <c r="NE3" s="582"/>
      <c r="NF3" s="582"/>
      <c r="NG3" s="582"/>
      <c r="NH3" s="582"/>
      <c r="NI3" s="582"/>
      <c r="NJ3" s="582"/>
      <c r="NK3" s="582"/>
      <c r="NL3" s="582"/>
      <c r="NM3" s="582"/>
      <c r="NN3" s="582"/>
      <c r="NO3" s="582"/>
      <c r="NP3" s="582"/>
      <c r="NQ3" s="582"/>
      <c r="NR3" s="582"/>
      <c r="NS3" s="582"/>
      <c r="NT3" s="582"/>
      <c r="NU3" s="582"/>
      <c r="NV3" s="582"/>
      <c r="NW3" s="582"/>
      <c r="NX3" s="582"/>
      <c r="NY3" s="582"/>
      <c r="NZ3" s="582"/>
      <c r="OA3" s="582"/>
      <c r="OB3" s="582"/>
      <c r="OC3" s="582"/>
      <c r="OD3" s="582"/>
      <c r="OE3" s="582"/>
      <c r="OF3" s="582"/>
      <c r="OG3" s="582"/>
      <c r="OH3" s="582"/>
      <c r="OI3" s="582"/>
      <c r="OJ3" s="582"/>
      <c r="OK3" s="582"/>
      <c r="OL3" s="582"/>
      <c r="OM3" s="582"/>
      <c r="ON3" s="582"/>
      <c r="OO3" s="582"/>
      <c r="OP3" s="582"/>
      <c r="OQ3" s="582"/>
      <c r="OR3" s="582"/>
      <c r="OS3" s="582"/>
      <c r="OT3" s="582"/>
      <c r="OU3" s="582"/>
      <c r="OV3" s="582"/>
      <c r="OW3" s="582"/>
      <c r="OX3" s="582"/>
      <c r="OY3" s="582"/>
      <c r="OZ3" s="582"/>
      <c r="PA3" s="582"/>
      <c r="PB3" s="582"/>
      <c r="PC3" s="582"/>
      <c r="PD3" s="582"/>
      <c r="PE3" s="582"/>
      <c r="PF3" s="582"/>
      <c r="PG3" s="582"/>
      <c r="PH3" s="582"/>
      <c r="PI3" s="582"/>
      <c r="PJ3" s="582"/>
      <c r="PK3" s="582"/>
      <c r="PL3" s="582"/>
      <c r="PM3" s="582"/>
      <c r="PN3" s="582"/>
      <c r="PO3" s="582"/>
      <c r="PP3" s="582"/>
      <c r="PQ3" s="582"/>
      <c r="PR3" s="582"/>
      <c r="PS3" s="582"/>
      <c r="PT3" s="582"/>
      <c r="PU3" s="582"/>
      <c r="PV3" s="582"/>
      <c r="PW3" s="582"/>
      <c r="PX3" s="582"/>
      <c r="PY3" s="582"/>
      <c r="PZ3" s="582"/>
      <c r="QA3" s="582"/>
      <c r="QB3" s="582"/>
      <c r="QC3" s="582"/>
      <c r="QD3" s="582"/>
      <c r="QE3" s="582"/>
      <c r="QF3" s="582"/>
      <c r="QG3" s="582"/>
      <c r="QH3" s="582"/>
      <c r="QI3" s="582"/>
      <c r="QJ3" s="582"/>
      <c r="QK3" s="582"/>
      <c r="QL3" s="582"/>
      <c r="QM3" s="582"/>
      <c r="QN3" s="582"/>
      <c r="QO3" s="582"/>
      <c r="QP3" s="582"/>
      <c r="QQ3" s="582"/>
      <c r="QR3" s="582"/>
      <c r="QS3" s="582"/>
      <c r="QT3" s="582"/>
      <c r="QU3" s="582"/>
      <c r="QV3" s="582"/>
      <c r="QW3" s="582"/>
      <c r="QX3" s="582"/>
      <c r="QY3" s="582"/>
      <c r="QZ3" s="582"/>
      <c r="RA3" s="582"/>
      <c r="RB3" s="582"/>
      <c r="RC3" s="582"/>
      <c r="RD3" s="582"/>
      <c r="RE3" s="582"/>
      <c r="RF3" s="582"/>
      <c r="RG3" s="582"/>
      <c r="RH3" s="582"/>
      <c r="RI3" s="582"/>
      <c r="RJ3" s="582"/>
      <c r="RK3" s="582"/>
      <c r="RL3" s="582"/>
      <c r="RM3" s="582"/>
      <c r="RN3" s="582"/>
      <c r="RO3" s="582"/>
      <c r="RP3" s="582"/>
      <c r="RQ3" s="582"/>
      <c r="RR3" s="582"/>
      <c r="RS3" s="582"/>
      <c r="RT3" s="582"/>
      <c r="RU3" s="582"/>
      <c r="RV3" s="582"/>
      <c r="RW3" s="582"/>
      <c r="RX3" s="582"/>
      <c r="RY3" s="582"/>
      <c r="RZ3" s="582"/>
      <c r="SA3" s="582"/>
      <c r="SB3" s="582"/>
      <c r="SC3" s="582"/>
      <c r="SD3" s="582"/>
      <c r="SE3" s="582"/>
      <c r="SF3" s="582"/>
      <c r="SG3" s="582"/>
      <c r="SH3" s="582"/>
      <c r="SI3" s="582"/>
      <c r="SJ3" s="582"/>
      <c r="SK3" s="582"/>
      <c r="SL3" s="582"/>
      <c r="SM3" s="582"/>
      <c r="SN3" s="582"/>
      <c r="SO3" s="582"/>
      <c r="SP3" s="582"/>
      <c r="SQ3" s="582"/>
      <c r="SR3" s="582"/>
      <c r="SS3" s="582"/>
      <c r="ST3" s="582"/>
      <c r="SU3" s="582"/>
      <c r="SV3" s="582"/>
      <c r="SW3" s="582"/>
      <c r="SX3" s="582"/>
      <c r="SY3" s="582"/>
      <c r="SZ3" s="582"/>
      <c r="TA3" s="582"/>
      <c r="TB3" s="582"/>
      <c r="TC3" s="582"/>
      <c r="TD3" s="582"/>
      <c r="TE3" s="582"/>
      <c r="TF3" s="582"/>
      <c r="TG3" s="582"/>
      <c r="TH3" s="582"/>
      <c r="TI3" s="582"/>
      <c r="TJ3" s="582"/>
      <c r="TK3" s="582"/>
      <c r="TL3" s="582"/>
      <c r="TM3" s="582"/>
      <c r="TN3" s="582"/>
      <c r="TO3" s="582"/>
      <c r="TP3" s="582"/>
      <c r="TQ3" s="582"/>
      <c r="TR3" s="582"/>
      <c r="TS3" s="582"/>
      <c r="TT3" s="582"/>
      <c r="TU3" s="582"/>
      <c r="TV3" s="582"/>
      <c r="TW3" s="582"/>
      <c r="TX3" s="582"/>
      <c r="TY3" s="582"/>
      <c r="TZ3" s="582"/>
      <c r="UA3" s="582"/>
      <c r="UB3" s="582"/>
      <c r="UC3" s="582"/>
      <c r="UD3" s="582"/>
      <c r="UE3" s="582"/>
      <c r="UF3" s="582"/>
      <c r="UG3" s="582"/>
      <c r="UH3" s="582"/>
      <c r="UI3" s="582"/>
      <c r="UJ3" s="582"/>
      <c r="UK3" s="582"/>
      <c r="UL3" s="582"/>
      <c r="UM3" s="582"/>
      <c r="UN3" s="582"/>
      <c r="UO3" s="582"/>
      <c r="UP3" s="582"/>
      <c r="UQ3" s="582"/>
      <c r="UR3" s="582"/>
      <c r="US3" s="582"/>
      <c r="UT3" s="582"/>
      <c r="UU3" s="582"/>
      <c r="UV3" s="582"/>
      <c r="UW3" s="582"/>
      <c r="UX3" s="582"/>
      <c r="UY3" s="582"/>
      <c r="UZ3" s="582"/>
      <c r="VA3" s="582"/>
      <c r="VB3" s="582"/>
      <c r="VC3" s="582"/>
      <c r="VD3" s="582"/>
      <c r="VE3" s="582"/>
      <c r="VF3" s="582"/>
      <c r="VG3" s="582"/>
      <c r="VH3" s="582"/>
      <c r="VI3" s="582"/>
      <c r="VJ3" s="582"/>
      <c r="VK3" s="582"/>
      <c r="VL3" s="582"/>
      <c r="VM3" s="582"/>
      <c r="VN3" s="582"/>
      <c r="VO3" s="582"/>
      <c r="VP3" s="582"/>
      <c r="VQ3" s="582"/>
      <c r="VR3" s="582"/>
      <c r="VS3" s="582"/>
      <c r="VT3" s="582"/>
      <c r="VU3" s="582"/>
      <c r="VV3" s="582"/>
      <c r="VW3" s="582"/>
      <c r="VX3" s="582"/>
      <c r="VY3" s="582"/>
      <c r="VZ3" s="582"/>
      <c r="WA3" s="582"/>
      <c r="WB3" s="582"/>
      <c r="WC3" s="582"/>
      <c r="WD3" s="582"/>
      <c r="WE3" s="582"/>
      <c r="WF3" s="582"/>
      <c r="WG3" s="582"/>
      <c r="WH3" s="582"/>
      <c r="WI3" s="582"/>
      <c r="WJ3" s="582"/>
      <c r="WK3" s="582"/>
      <c r="WL3" s="582"/>
      <c r="WM3" s="582"/>
      <c r="WN3" s="582"/>
      <c r="WO3" s="582"/>
      <c r="WP3" s="582"/>
      <c r="WQ3" s="582"/>
      <c r="WR3" s="582"/>
      <c r="WS3" s="582"/>
      <c r="WT3" s="582"/>
      <c r="WU3" s="582"/>
      <c r="WV3" s="582"/>
      <c r="WW3" s="582"/>
      <c r="WX3" s="582"/>
      <c r="WY3" s="582"/>
      <c r="WZ3" s="582"/>
      <c r="XA3" s="582"/>
      <c r="XB3" s="582"/>
      <c r="XC3" s="582"/>
      <c r="XD3" s="582"/>
      <c r="XE3" s="582"/>
      <c r="XF3" s="582"/>
      <c r="XG3" s="582"/>
      <c r="XH3" s="582"/>
      <c r="XI3" s="582"/>
      <c r="XJ3" s="582"/>
      <c r="XK3" s="582"/>
      <c r="XL3" s="582"/>
      <c r="XM3" s="582"/>
      <c r="XN3" s="582"/>
      <c r="XO3" s="582"/>
      <c r="XP3" s="582"/>
      <c r="XQ3" s="582"/>
      <c r="XR3" s="582"/>
      <c r="XS3" s="582"/>
      <c r="XT3" s="582"/>
      <c r="XU3" s="582"/>
      <c r="XV3" s="582"/>
      <c r="XW3" s="582"/>
      <c r="XX3" s="582"/>
      <c r="XY3" s="582"/>
      <c r="XZ3" s="582"/>
      <c r="YA3" s="582"/>
      <c r="YB3" s="582"/>
      <c r="YC3" s="582"/>
      <c r="YD3" s="582"/>
      <c r="YE3" s="582"/>
      <c r="YF3" s="582"/>
      <c r="YG3" s="582"/>
      <c r="YH3" s="582"/>
      <c r="YI3" s="582"/>
      <c r="YJ3" s="582"/>
      <c r="YK3" s="582"/>
      <c r="YL3" s="582"/>
      <c r="YM3" s="582"/>
      <c r="YN3" s="582"/>
      <c r="YO3" s="582"/>
      <c r="YP3" s="582"/>
      <c r="YQ3" s="582"/>
      <c r="YR3" s="582"/>
      <c r="YS3" s="582"/>
      <c r="YT3" s="582"/>
      <c r="YU3" s="582"/>
      <c r="YV3" s="582"/>
      <c r="YW3" s="582"/>
      <c r="YX3" s="582"/>
      <c r="YY3" s="582"/>
      <c r="YZ3" s="582"/>
      <c r="ZA3" s="582"/>
      <c r="ZB3" s="582"/>
      <c r="ZC3" s="582"/>
      <c r="ZD3" s="582"/>
      <c r="ZE3" s="582"/>
      <c r="ZF3" s="582"/>
      <c r="ZG3" s="582"/>
      <c r="ZH3" s="582"/>
      <c r="ZI3" s="582"/>
      <c r="ZJ3" s="582"/>
      <c r="ZK3" s="582"/>
      <c r="ZL3" s="582"/>
      <c r="ZM3" s="582"/>
      <c r="ZN3" s="582"/>
      <c r="ZO3" s="582"/>
      <c r="ZP3" s="582"/>
      <c r="ZQ3" s="582"/>
      <c r="ZR3" s="582"/>
      <c r="ZS3" s="582"/>
      <c r="ZT3" s="582"/>
      <c r="ZU3" s="582"/>
      <c r="ZV3" s="582"/>
      <c r="ZW3" s="582"/>
      <c r="ZX3" s="582"/>
      <c r="ZY3" s="582"/>
      <c r="ZZ3" s="582"/>
      <c r="AAA3" s="582"/>
      <c r="AAB3" s="582"/>
      <c r="AAC3" s="582"/>
      <c r="AAD3" s="582"/>
      <c r="AAE3" s="582"/>
      <c r="AAF3" s="582"/>
      <c r="AAG3" s="582"/>
      <c r="AAH3" s="582"/>
      <c r="AAI3" s="582"/>
      <c r="AAJ3" s="582"/>
      <c r="AAK3" s="582"/>
      <c r="AAL3" s="582"/>
      <c r="AAM3" s="582"/>
      <c r="AAN3" s="582"/>
      <c r="AAO3" s="582"/>
      <c r="AAP3" s="582"/>
      <c r="AAQ3" s="582"/>
      <c r="AAR3" s="582"/>
      <c r="AAS3" s="582"/>
      <c r="AAT3" s="582"/>
      <c r="AAU3" s="582"/>
      <c r="AAV3" s="582"/>
      <c r="AAW3" s="582"/>
      <c r="AAX3" s="582"/>
      <c r="AAY3" s="582"/>
      <c r="AAZ3" s="582"/>
      <c r="ABA3" s="582"/>
      <c r="ABB3" s="582"/>
      <c r="ABC3" s="582"/>
      <c r="ABD3" s="582"/>
      <c r="ABE3" s="582"/>
      <c r="ABF3" s="582"/>
      <c r="ABG3" s="582"/>
      <c r="ABH3" s="582"/>
      <c r="ABI3" s="582"/>
      <c r="ABJ3" s="582"/>
      <c r="ABK3" s="582"/>
      <c r="ABL3" s="582"/>
      <c r="ABM3" s="582"/>
      <c r="ABN3" s="582"/>
      <c r="ABO3" s="582"/>
      <c r="ABP3" s="582"/>
      <c r="ABQ3" s="582"/>
      <c r="ABR3" s="582"/>
      <c r="ABS3" s="582"/>
      <c r="ABT3" s="582"/>
      <c r="ABU3" s="582"/>
      <c r="ABV3" s="582"/>
      <c r="ABW3" s="582"/>
      <c r="ABX3" s="582"/>
      <c r="ABY3" s="582"/>
      <c r="ABZ3" s="582"/>
      <c r="ACA3" s="582"/>
      <c r="ACB3" s="582"/>
      <c r="ACC3" s="582"/>
      <c r="ACD3" s="582"/>
      <c r="ACE3" s="582"/>
      <c r="ACF3" s="582"/>
      <c r="ACG3" s="582"/>
      <c r="ACH3" s="582"/>
      <c r="ACI3" s="582"/>
      <c r="ACJ3" s="582"/>
      <c r="ACK3" s="582"/>
      <c r="ACL3" s="582"/>
      <c r="ACM3" s="582"/>
      <c r="ACN3" s="582"/>
      <c r="ACO3" s="582"/>
      <c r="ACP3" s="582"/>
      <c r="ACQ3" s="582"/>
      <c r="ACR3" s="582"/>
      <c r="ACS3" s="582"/>
      <c r="ACT3" s="582"/>
      <c r="ACU3" s="582"/>
      <c r="ACV3" s="582"/>
      <c r="ACW3" s="582"/>
      <c r="ACX3" s="582"/>
      <c r="ACY3" s="582"/>
      <c r="ACZ3" s="582"/>
      <c r="ADA3" s="582"/>
      <c r="ADB3" s="582"/>
      <c r="ADC3" s="582"/>
      <c r="ADD3" s="582"/>
      <c r="ADE3" s="582"/>
      <c r="ADF3" s="582"/>
      <c r="ADG3" s="582"/>
      <c r="ADH3" s="582"/>
      <c r="ADI3" s="582"/>
      <c r="ADJ3" s="582"/>
      <c r="ADK3" s="582"/>
      <c r="ADL3" s="582"/>
      <c r="ADM3" s="582"/>
      <c r="ADN3" s="582"/>
      <c r="ADO3" s="582"/>
      <c r="ADP3" s="582"/>
      <c r="ADQ3" s="582"/>
      <c r="ADR3" s="582"/>
      <c r="ADS3" s="582"/>
      <c r="ADT3" s="582"/>
      <c r="ADU3" s="582"/>
      <c r="ADV3" s="582"/>
      <c r="ADW3" s="582"/>
      <c r="ADX3" s="582"/>
      <c r="ADY3" s="582"/>
      <c r="ADZ3" s="582"/>
      <c r="AEA3" s="582"/>
      <c r="AEB3" s="582"/>
      <c r="AEC3" s="582"/>
      <c r="AED3" s="582"/>
      <c r="AEE3" s="582"/>
      <c r="AEF3" s="582"/>
      <c r="AEG3" s="582"/>
      <c r="AEH3" s="582"/>
      <c r="AEI3" s="582"/>
      <c r="AEJ3" s="582"/>
      <c r="AEK3" s="582"/>
      <c r="AEL3" s="582"/>
      <c r="AEM3" s="582"/>
      <c r="AEN3" s="582"/>
      <c r="AEO3" s="582"/>
      <c r="AEP3" s="582"/>
      <c r="AEQ3" s="582"/>
      <c r="AER3" s="582"/>
      <c r="AES3" s="582"/>
      <c r="AET3" s="582"/>
      <c r="AEU3" s="582"/>
      <c r="AEV3" s="582"/>
      <c r="AEW3" s="582"/>
      <c r="AEX3" s="582"/>
      <c r="AEY3" s="582"/>
      <c r="AEZ3" s="582"/>
      <c r="AFA3" s="582"/>
      <c r="AFB3" s="582"/>
      <c r="AFC3" s="582"/>
      <c r="AFD3" s="582"/>
      <c r="AFE3" s="582"/>
      <c r="AFF3" s="582"/>
      <c r="AFG3" s="582"/>
      <c r="AFH3" s="582"/>
      <c r="AFI3" s="582"/>
      <c r="AFJ3" s="582"/>
      <c r="AFK3" s="582"/>
      <c r="AFL3" s="582"/>
      <c r="AFM3" s="582"/>
      <c r="AFN3" s="582"/>
      <c r="AFO3" s="582"/>
      <c r="AFP3" s="582"/>
      <c r="AFQ3" s="582"/>
      <c r="AFR3" s="582"/>
      <c r="AFS3" s="582"/>
      <c r="AFT3" s="582"/>
      <c r="AFU3" s="582"/>
      <c r="AFV3" s="582"/>
      <c r="AFW3" s="582"/>
      <c r="AFX3" s="582"/>
      <c r="AFY3" s="582"/>
      <c r="AFZ3" s="582"/>
      <c r="AGA3" s="582"/>
      <c r="AGB3" s="582"/>
      <c r="AGC3" s="582"/>
      <c r="AGD3" s="582"/>
      <c r="AGE3" s="582"/>
      <c r="AGF3" s="582"/>
      <c r="AGG3" s="582"/>
      <c r="AGH3" s="582"/>
      <c r="AGI3" s="582"/>
      <c r="AGJ3" s="582"/>
      <c r="AGK3" s="582"/>
      <c r="AGL3" s="582"/>
      <c r="AGM3" s="582"/>
      <c r="AGN3" s="582"/>
      <c r="AGO3" s="582"/>
      <c r="AGP3" s="582"/>
      <c r="AGQ3" s="582"/>
      <c r="AGR3" s="582"/>
      <c r="AGS3" s="582"/>
      <c r="AGT3" s="582"/>
      <c r="AGU3" s="582"/>
      <c r="AGV3" s="582"/>
      <c r="AGW3" s="582"/>
      <c r="AGX3" s="582"/>
      <c r="AGY3" s="582"/>
      <c r="AGZ3" s="582"/>
      <c r="AHA3" s="582"/>
      <c r="AHB3" s="582"/>
      <c r="AHC3" s="582"/>
      <c r="AHD3" s="582"/>
      <c r="AHE3" s="582"/>
      <c r="AHF3" s="582"/>
      <c r="AHG3" s="582"/>
      <c r="AHH3" s="582"/>
      <c r="AHI3" s="582"/>
      <c r="AHJ3" s="582"/>
      <c r="AHK3" s="582"/>
      <c r="AHL3" s="582"/>
      <c r="AHM3" s="582"/>
      <c r="AHN3" s="582"/>
      <c r="AHO3" s="582"/>
      <c r="AHP3" s="582"/>
      <c r="AHQ3" s="582"/>
      <c r="AHR3" s="582"/>
      <c r="AHS3" s="582"/>
      <c r="AHT3" s="582"/>
      <c r="AHU3" s="582"/>
      <c r="AHV3" s="582"/>
      <c r="AHW3" s="582"/>
      <c r="AHX3" s="582"/>
      <c r="AHY3" s="582"/>
      <c r="AHZ3" s="582"/>
      <c r="AIA3" s="582"/>
      <c r="AIB3" s="582"/>
      <c r="AIC3" s="582"/>
      <c r="AID3" s="582"/>
      <c r="AIE3" s="582"/>
      <c r="AIF3" s="582"/>
      <c r="AIG3" s="582"/>
      <c r="AIH3" s="582"/>
      <c r="AII3" s="582"/>
      <c r="AIJ3" s="582"/>
      <c r="AIK3" s="582"/>
      <c r="AIL3" s="582"/>
      <c r="AIM3" s="582"/>
      <c r="AIN3" s="582"/>
      <c r="AIO3" s="582"/>
      <c r="AIP3" s="582"/>
      <c r="AIQ3" s="582"/>
      <c r="AIR3" s="582"/>
      <c r="AIS3" s="582"/>
      <c r="AIT3" s="582"/>
      <c r="AIU3" s="582"/>
      <c r="AIV3" s="582"/>
      <c r="AIW3" s="582"/>
      <c r="AIX3" s="582"/>
      <c r="AIY3" s="582"/>
      <c r="AIZ3" s="582"/>
      <c r="AJA3" s="582"/>
      <c r="AJB3" s="582"/>
      <c r="AJC3" s="582"/>
      <c r="AJD3" s="582"/>
      <c r="AJE3" s="582"/>
      <c r="AJF3" s="582"/>
      <c r="AJG3" s="582"/>
      <c r="AJH3" s="582"/>
      <c r="AJI3" s="582"/>
      <c r="AJJ3" s="582"/>
      <c r="AJK3" s="582"/>
      <c r="AJL3" s="582"/>
      <c r="AJM3" s="582"/>
      <c r="AJN3" s="582"/>
      <c r="AJO3" s="582"/>
      <c r="AJP3" s="582"/>
      <c r="AJQ3" s="582"/>
      <c r="AJR3" s="582"/>
      <c r="AJS3" s="582"/>
      <c r="AJT3" s="582"/>
      <c r="AJU3" s="582"/>
      <c r="AJV3" s="582"/>
      <c r="AJW3" s="582"/>
      <c r="AJX3" s="582"/>
      <c r="AJY3" s="582"/>
      <c r="AJZ3" s="582"/>
      <c r="AKA3" s="582"/>
      <c r="AKB3" s="582"/>
      <c r="AKC3" s="582"/>
      <c r="AKD3" s="582"/>
      <c r="AKE3" s="582"/>
      <c r="AKF3" s="582"/>
      <c r="AKG3" s="582"/>
      <c r="AKH3" s="582"/>
      <c r="AKI3" s="582"/>
      <c r="AKJ3" s="582"/>
      <c r="AKK3" s="582"/>
      <c r="AKL3" s="582"/>
      <c r="AKM3" s="582"/>
      <c r="AKN3" s="582"/>
      <c r="AKO3" s="582"/>
      <c r="AKP3" s="582"/>
      <c r="AKQ3" s="582"/>
      <c r="AKR3" s="582"/>
      <c r="AKS3" s="582"/>
      <c r="AKT3" s="582"/>
      <c r="AKU3" s="582"/>
      <c r="AKV3" s="582"/>
      <c r="AKW3" s="582"/>
      <c r="AKX3" s="582"/>
      <c r="AKY3" s="582"/>
      <c r="AKZ3" s="582"/>
      <c r="ALA3" s="582"/>
      <c r="ALB3" s="582"/>
      <c r="ALC3" s="582"/>
      <c r="ALD3" s="582"/>
      <c r="ALE3" s="582"/>
      <c r="ALF3" s="582"/>
      <c r="ALG3" s="582"/>
      <c r="ALH3" s="582"/>
      <c r="ALI3" s="582"/>
      <c r="ALJ3" s="582"/>
      <c r="ALK3" s="582"/>
      <c r="ALL3" s="582"/>
      <c r="ALM3" s="582"/>
      <c r="ALN3" s="582"/>
      <c r="ALO3" s="582"/>
      <c r="ALP3" s="582"/>
      <c r="ALQ3" s="582"/>
      <c r="ALR3" s="582"/>
      <c r="ALS3" s="582"/>
      <c r="ALT3" s="582"/>
      <c r="ALU3" s="582"/>
      <c r="ALV3" s="582"/>
      <c r="ALW3" s="582"/>
      <c r="ALX3" s="582"/>
      <c r="ALY3" s="582"/>
      <c r="ALZ3" s="582"/>
      <c r="AMA3" s="582"/>
      <c r="AMB3" s="582"/>
      <c r="AMC3" s="582"/>
      <c r="AMD3" s="582"/>
      <c r="AME3" s="582"/>
      <c r="AMF3" s="582"/>
      <c r="AMG3" s="582"/>
      <c r="AMH3" s="582"/>
      <c r="AMI3" s="582"/>
      <c r="AMJ3" s="582"/>
      <c r="AMK3" s="582"/>
      <c r="AML3" s="582"/>
      <c r="AMM3" s="582"/>
      <c r="AMN3" s="582"/>
      <c r="AMO3" s="582"/>
      <c r="AMP3" s="582"/>
      <c r="AMQ3" s="582"/>
      <c r="AMR3" s="582"/>
      <c r="AMS3" s="582"/>
      <c r="AMT3" s="582"/>
      <c r="AMU3" s="582"/>
      <c r="AMV3" s="582"/>
      <c r="AMW3" s="582"/>
      <c r="AMX3" s="582"/>
      <c r="AMY3" s="582"/>
      <c r="AMZ3" s="582"/>
      <c r="ANA3" s="582"/>
      <c r="ANB3" s="582"/>
      <c r="ANC3" s="582"/>
      <c r="AND3" s="582"/>
      <c r="ANE3" s="582"/>
      <c r="ANF3" s="582"/>
      <c r="ANG3" s="582"/>
      <c r="ANH3" s="582"/>
      <c r="ANI3" s="582"/>
      <c r="ANJ3" s="582"/>
      <c r="ANK3" s="582"/>
      <c r="ANL3" s="582"/>
      <c r="ANM3" s="582"/>
      <c r="ANN3" s="582"/>
      <c r="ANO3" s="582"/>
      <c r="ANP3" s="582"/>
      <c r="ANQ3" s="582"/>
      <c r="ANR3" s="582"/>
      <c r="ANS3" s="582"/>
      <c r="ANT3" s="582"/>
      <c r="ANU3" s="582"/>
      <c r="ANV3" s="582"/>
      <c r="ANW3" s="582"/>
      <c r="ANX3" s="582"/>
      <c r="ANY3" s="582"/>
      <c r="ANZ3" s="582"/>
      <c r="AOA3" s="582"/>
      <c r="AOB3" s="582"/>
      <c r="AOC3" s="582"/>
      <c r="AOD3" s="582"/>
      <c r="AOE3" s="582"/>
      <c r="AOF3" s="582"/>
      <c r="AOG3" s="582"/>
      <c r="AOH3" s="582"/>
      <c r="AOI3" s="582"/>
      <c r="AOJ3" s="582"/>
      <c r="AOK3" s="582"/>
      <c r="AOL3" s="582"/>
      <c r="AOM3" s="582"/>
      <c r="AON3" s="582"/>
      <c r="AOO3" s="582"/>
      <c r="AOP3" s="582"/>
      <c r="AOQ3" s="582"/>
      <c r="AOR3" s="582"/>
      <c r="AOS3" s="582"/>
      <c r="AOT3" s="582"/>
      <c r="AOU3" s="582"/>
      <c r="AOV3" s="582"/>
      <c r="AOW3" s="582"/>
      <c r="AOX3" s="582"/>
      <c r="AOY3" s="582"/>
      <c r="AOZ3" s="582"/>
      <c r="APA3" s="582"/>
      <c r="APB3" s="582"/>
      <c r="APC3" s="582"/>
      <c r="APD3" s="582"/>
      <c r="APE3" s="582"/>
      <c r="APF3" s="582"/>
      <c r="APG3" s="582"/>
      <c r="APH3" s="582"/>
      <c r="API3" s="582"/>
      <c r="APJ3" s="582"/>
      <c r="APK3" s="582"/>
      <c r="APL3" s="582"/>
      <c r="APM3" s="582"/>
      <c r="APN3" s="582"/>
      <c r="APO3" s="582"/>
      <c r="APP3" s="582"/>
      <c r="APQ3" s="582"/>
      <c r="APR3" s="582"/>
      <c r="APS3" s="582"/>
      <c r="APT3" s="582"/>
      <c r="APU3" s="582"/>
      <c r="APV3" s="582"/>
      <c r="APW3" s="582"/>
      <c r="APX3" s="582"/>
      <c r="APY3" s="582"/>
      <c r="APZ3" s="582"/>
      <c r="AQA3" s="582"/>
      <c r="AQB3" s="582"/>
      <c r="AQC3" s="582"/>
      <c r="AQD3" s="582"/>
      <c r="AQE3" s="582"/>
      <c r="AQF3" s="582"/>
      <c r="AQG3" s="582"/>
      <c r="AQH3" s="582"/>
      <c r="AQI3" s="582"/>
      <c r="AQJ3" s="582"/>
      <c r="AQK3" s="582"/>
      <c r="AQL3" s="582"/>
      <c r="AQM3" s="582"/>
      <c r="AQN3" s="582"/>
      <c r="AQO3" s="582"/>
      <c r="AQP3" s="582"/>
      <c r="AQQ3" s="582"/>
      <c r="AQR3" s="582"/>
      <c r="AQS3" s="582"/>
      <c r="AQT3" s="582"/>
      <c r="AQU3" s="582"/>
      <c r="AQV3" s="582"/>
      <c r="AQW3" s="582"/>
      <c r="AQX3" s="582"/>
      <c r="AQY3" s="582"/>
      <c r="AQZ3" s="582"/>
      <c r="ARA3" s="582"/>
      <c r="ARB3" s="582"/>
      <c r="ARC3" s="582"/>
      <c r="ARD3" s="582"/>
      <c r="ARE3" s="582"/>
      <c r="ARF3" s="582"/>
      <c r="ARG3" s="582"/>
      <c r="ARH3" s="582"/>
      <c r="ARI3" s="582"/>
      <c r="ARJ3" s="582"/>
      <c r="ARK3" s="582"/>
      <c r="ARL3" s="582"/>
      <c r="ARM3" s="582"/>
      <c r="ARN3" s="582"/>
      <c r="ARO3" s="582"/>
      <c r="ARP3" s="582"/>
      <c r="ARQ3" s="582"/>
      <c r="ARR3" s="582"/>
      <c r="ARS3" s="582"/>
      <c r="ART3" s="582"/>
      <c r="ARU3" s="582"/>
      <c r="ARV3" s="582"/>
      <c r="ARW3" s="582"/>
      <c r="ARX3" s="582"/>
      <c r="ARY3" s="582"/>
      <c r="ARZ3" s="582"/>
      <c r="ASA3" s="582"/>
      <c r="ASB3" s="582"/>
      <c r="ASC3" s="582"/>
      <c r="ASD3" s="582"/>
      <c r="ASE3" s="582"/>
      <c r="ASF3" s="582"/>
      <c r="ASG3" s="582"/>
      <c r="ASH3" s="582"/>
      <c r="ASI3" s="582"/>
      <c r="ASJ3" s="582"/>
      <c r="ASK3" s="582"/>
      <c r="ASL3" s="582"/>
      <c r="ASM3" s="582"/>
      <c r="ASN3" s="582"/>
      <c r="ASO3" s="582"/>
      <c r="ASP3" s="582"/>
      <c r="ASQ3" s="582"/>
      <c r="ASR3" s="582"/>
      <c r="ASS3" s="582"/>
      <c r="AST3" s="582"/>
      <c r="ASU3" s="582"/>
      <c r="ASV3" s="582"/>
      <c r="ASW3" s="582"/>
      <c r="ASX3" s="582"/>
      <c r="ASY3" s="582"/>
      <c r="ASZ3" s="582"/>
      <c r="ATA3" s="582"/>
      <c r="ATB3" s="582"/>
      <c r="ATC3" s="582"/>
      <c r="ATD3" s="582"/>
      <c r="ATE3" s="582"/>
      <c r="ATF3" s="582"/>
      <c r="ATG3" s="582"/>
      <c r="ATH3" s="582"/>
      <c r="ATI3" s="582"/>
      <c r="ATJ3" s="582"/>
      <c r="ATK3" s="582"/>
      <c r="ATL3" s="582"/>
      <c r="ATM3" s="582"/>
      <c r="ATN3" s="582"/>
      <c r="ATO3" s="582"/>
      <c r="ATP3" s="582"/>
      <c r="ATQ3" s="582"/>
      <c r="ATR3" s="582"/>
      <c r="ATS3" s="582"/>
      <c r="ATT3" s="582"/>
      <c r="ATU3" s="582"/>
      <c r="ATV3" s="582"/>
      <c r="ATW3" s="582"/>
      <c r="ATX3" s="582"/>
      <c r="ATY3" s="582"/>
      <c r="ATZ3" s="582"/>
      <c r="AUA3" s="582"/>
      <c r="AUB3" s="582"/>
      <c r="AUC3" s="582"/>
      <c r="AUD3" s="582"/>
      <c r="AUE3" s="582"/>
      <c r="AUF3" s="582"/>
      <c r="AUG3" s="582"/>
      <c r="AUH3" s="582"/>
      <c r="AUI3" s="582"/>
      <c r="AUJ3" s="582"/>
      <c r="AUK3" s="582"/>
      <c r="AUL3" s="582"/>
      <c r="AUM3" s="582"/>
      <c r="AUN3" s="582"/>
      <c r="AUO3" s="582"/>
      <c r="AUP3" s="582"/>
      <c r="AUQ3" s="582"/>
      <c r="AUR3" s="582"/>
      <c r="AUS3" s="582"/>
      <c r="AUT3" s="582"/>
      <c r="AUU3" s="582"/>
      <c r="AUV3" s="582"/>
      <c r="AUW3" s="582"/>
      <c r="AUX3" s="582"/>
      <c r="AUY3" s="582"/>
      <c r="AUZ3" s="582"/>
      <c r="AVA3" s="582"/>
      <c r="AVB3" s="582"/>
      <c r="AVC3" s="582"/>
      <c r="AVD3" s="582"/>
      <c r="AVE3" s="582"/>
      <c r="AVF3" s="582"/>
      <c r="AVG3" s="582"/>
      <c r="AVH3" s="582"/>
      <c r="AVI3" s="582"/>
      <c r="AVJ3" s="582"/>
      <c r="AVK3" s="582"/>
      <c r="AVL3" s="582"/>
      <c r="AVM3" s="582"/>
      <c r="AVN3" s="582"/>
      <c r="AVO3" s="582"/>
      <c r="AVP3" s="582"/>
      <c r="AVQ3" s="582"/>
      <c r="AVR3" s="582"/>
      <c r="AVS3" s="582"/>
      <c r="AVT3" s="582"/>
      <c r="AVU3" s="582"/>
      <c r="AVV3" s="582"/>
      <c r="AVW3" s="582"/>
      <c r="AVX3" s="582"/>
      <c r="AVY3" s="582"/>
      <c r="AVZ3" s="582"/>
      <c r="AWA3" s="582"/>
      <c r="AWB3" s="582"/>
      <c r="AWC3" s="582"/>
      <c r="AWD3" s="582"/>
      <c r="AWE3" s="582"/>
      <c r="AWF3" s="582"/>
      <c r="AWG3" s="582"/>
      <c r="AWH3" s="582"/>
      <c r="AWI3" s="582"/>
      <c r="AWJ3" s="582"/>
      <c r="AWK3" s="582"/>
      <c r="AWL3" s="582"/>
      <c r="AWM3" s="582"/>
      <c r="AWN3" s="582"/>
      <c r="AWO3" s="582"/>
      <c r="AWP3" s="582"/>
      <c r="AWQ3" s="582"/>
      <c r="AWR3" s="582"/>
      <c r="AWS3" s="582"/>
      <c r="AWT3" s="582"/>
      <c r="AWU3" s="582"/>
      <c r="AWV3" s="582"/>
      <c r="AWW3" s="582"/>
      <c r="AWX3" s="582"/>
      <c r="AWY3" s="582"/>
      <c r="AWZ3" s="582"/>
      <c r="AXA3" s="582"/>
      <c r="AXB3" s="582"/>
      <c r="AXC3" s="582"/>
      <c r="AXD3" s="582"/>
      <c r="AXE3" s="582"/>
      <c r="AXF3" s="582"/>
      <c r="AXG3" s="582"/>
      <c r="AXH3" s="582"/>
      <c r="AXI3" s="582"/>
      <c r="AXJ3" s="582"/>
      <c r="AXK3" s="582"/>
      <c r="AXL3" s="582"/>
      <c r="AXM3" s="582"/>
      <c r="AXN3" s="582"/>
      <c r="AXO3" s="582"/>
      <c r="AXP3" s="582"/>
      <c r="AXQ3" s="582"/>
      <c r="AXR3" s="582"/>
      <c r="AXS3" s="582"/>
      <c r="AXT3" s="582"/>
      <c r="AXU3" s="582"/>
      <c r="AXV3" s="582"/>
      <c r="AXW3" s="582"/>
      <c r="AXX3" s="582"/>
      <c r="AXY3" s="582"/>
      <c r="AXZ3" s="582"/>
      <c r="AYA3" s="582"/>
      <c r="AYB3" s="582"/>
      <c r="AYC3" s="582"/>
      <c r="AYD3" s="582"/>
      <c r="AYE3" s="582"/>
      <c r="AYF3" s="582"/>
      <c r="AYG3" s="582"/>
      <c r="AYH3" s="582"/>
      <c r="AYI3" s="582"/>
      <c r="AYJ3" s="582"/>
      <c r="AYK3" s="582"/>
      <c r="AYL3" s="582"/>
      <c r="AYM3" s="582"/>
      <c r="AYN3" s="582"/>
      <c r="AYO3" s="582"/>
      <c r="AYP3" s="582"/>
      <c r="AYQ3" s="582"/>
      <c r="AYR3" s="582"/>
      <c r="AYS3" s="582"/>
      <c r="AYT3" s="582"/>
      <c r="AYU3" s="582"/>
      <c r="AYV3" s="582"/>
      <c r="AYW3" s="582"/>
      <c r="AYX3" s="582"/>
      <c r="AYY3" s="582"/>
      <c r="AYZ3" s="582"/>
      <c r="AZA3" s="582"/>
      <c r="AZB3" s="582"/>
      <c r="AZC3" s="582"/>
      <c r="AZD3" s="582"/>
      <c r="AZE3" s="582"/>
      <c r="AZF3" s="582"/>
      <c r="AZG3" s="582"/>
      <c r="AZH3" s="582"/>
      <c r="AZI3" s="582"/>
      <c r="AZJ3" s="582"/>
      <c r="AZK3" s="582"/>
      <c r="AZL3" s="582"/>
      <c r="AZM3" s="582"/>
      <c r="AZN3" s="582"/>
      <c r="AZO3" s="582"/>
      <c r="AZP3" s="582"/>
      <c r="AZQ3" s="582"/>
      <c r="AZR3" s="582"/>
      <c r="AZS3" s="582"/>
      <c r="AZT3" s="582"/>
      <c r="AZU3" s="582"/>
      <c r="AZV3" s="582"/>
      <c r="AZW3" s="582"/>
      <c r="AZX3" s="582"/>
      <c r="AZY3" s="582"/>
      <c r="AZZ3" s="582"/>
      <c r="BAA3" s="582"/>
      <c r="BAB3" s="582"/>
      <c r="BAC3" s="582"/>
      <c r="BAD3" s="582"/>
      <c r="BAE3" s="582"/>
      <c r="BAF3" s="582"/>
      <c r="BAG3" s="582"/>
      <c r="BAH3" s="582"/>
      <c r="BAI3" s="582"/>
      <c r="BAJ3" s="582"/>
      <c r="BAK3" s="582"/>
      <c r="BAL3" s="582"/>
      <c r="BAM3" s="582"/>
      <c r="BAN3" s="582"/>
      <c r="BAO3" s="582"/>
      <c r="BAP3" s="582"/>
      <c r="BAQ3" s="582"/>
      <c r="BAR3" s="582"/>
      <c r="BAS3" s="582"/>
      <c r="BAT3" s="582"/>
      <c r="BAU3" s="582"/>
      <c r="BAV3" s="582"/>
      <c r="BAW3" s="582"/>
      <c r="BAX3" s="582"/>
      <c r="BAY3" s="582"/>
      <c r="BAZ3" s="582"/>
      <c r="BBA3" s="582"/>
      <c r="BBB3" s="582"/>
      <c r="BBC3" s="582"/>
      <c r="BBD3" s="582"/>
      <c r="BBE3" s="582"/>
      <c r="BBF3" s="582"/>
      <c r="BBG3" s="582"/>
      <c r="BBH3" s="582"/>
      <c r="BBI3" s="582"/>
      <c r="BBJ3" s="582"/>
      <c r="BBK3" s="582"/>
      <c r="BBL3" s="582"/>
      <c r="BBM3" s="582"/>
      <c r="BBN3" s="582"/>
      <c r="BBO3" s="582"/>
      <c r="BBP3" s="582"/>
      <c r="BBQ3" s="582"/>
      <c r="BBR3" s="582"/>
      <c r="BBS3" s="582"/>
      <c r="BBT3" s="582"/>
      <c r="BBU3" s="582"/>
      <c r="BBV3" s="582"/>
      <c r="BBW3" s="582"/>
      <c r="BBX3" s="582"/>
      <c r="BBY3" s="582"/>
      <c r="BBZ3" s="582"/>
      <c r="BCA3" s="582"/>
      <c r="BCB3" s="582"/>
      <c r="BCC3" s="582"/>
      <c r="BCD3" s="582"/>
      <c r="BCE3" s="582"/>
      <c r="BCF3" s="582"/>
      <c r="BCG3" s="582"/>
      <c r="BCH3" s="582"/>
      <c r="BCI3" s="582"/>
      <c r="BCJ3" s="582"/>
      <c r="BCK3" s="582"/>
      <c r="BCL3" s="582"/>
      <c r="BCM3" s="582"/>
      <c r="BCN3" s="582"/>
      <c r="BCO3" s="582"/>
      <c r="BCP3" s="582"/>
      <c r="BCQ3" s="582"/>
      <c r="BCR3" s="582"/>
      <c r="BCS3" s="582"/>
      <c r="BCT3" s="582"/>
      <c r="BCU3" s="582"/>
      <c r="BCV3" s="582"/>
      <c r="BCW3" s="582"/>
      <c r="BCX3" s="582"/>
      <c r="BCY3" s="582"/>
      <c r="BCZ3" s="582"/>
      <c r="BDA3" s="582"/>
      <c r="BDB3" s="582"/>
      <c r="BDC3" s="582"/>
      <c r="BDD3" s="582"/>
      <c r="BDE3" s="582"/>
      <c r="BDF3" s="582"/>
      <c r="BDG3" s="582"/>
      <c r="BDH3" s="582"/>
      <c r="BDI3" s="582"/>
      <c r="BDJ3" s="582"/>
      <c r="BDK3" s="582"/>
      <c r="BDL3" s="582"/>
      <c r="BDM3" s="582"/>
      <c r="BDN3" s="582"/>
      <c r="BDO3" s="582"/>
      <c r="BDP3" s="582"/>
      <c r="BDQ3" s="582"/>
      <c r="BDR3" s="582"/>
      <c r="BDS3" s="582"/>
      <c r="BDT3" s="582"/>
      <c r="BDU3" s="582"/>
      <c r="BDV3" s="582"/>
      <c r="BDW3" s="582"/>
      <c r="BDX3" s="582"/>
      <c r="BDY3" s="582"/>
      <c r="BDZ3" s="582"/>
      <c r="BEA3" s="582"/>
      <c r="BEB3" s="582"/>
      <c r="BEC3" s="582"/>
      <c r="BED3" s="582"/>
      <c r="BEE3" s="582"/>
      <c r="BEF3" s="582"/>
      <c r="BEG3" s="582"/>
      <c r="BEH3" s="582"/>
      <c r="BEI3" s="582"/>
      <c r="BEJ3" s="582"/>
      <c r="BEK3" s="582"/>
      <c r="BEL3" s="582"/>
      <c r="BEM3" s="582"/>
      <c r="BEN3" s="582"/>
      <c r="BEO3" s="582"/>
      <c r="BEP3" s="582"/>
      <c r="BEQ3" s="582"/>
      <c r="BER3" s="582"/>
      <c r="BES3" s="582"/>
      <c r="BET3" s="582"/>
      <c r="BEU3" s="582"/>
      <c r="BEV3" s="582"/>
      <c r="BEW3" s="582"/>
      <c r="BEX3" s="582"/>
      <c r="BEY3" s="582"/>
      <c r="BEZ3" s="582"/>
      <c r="BFA3" s="582"/>
      <c r="BFB3" s="582"/>
      <c r="BFC3" s="582"/>
      <c r="BFD3" s="582"/>
      <c r="BFE3" s="582"/>
      <c r="BFF3" s="582"/>
      <c r="BFG3" s="582"/>
      <c r="BFH3" s="582"/>
      <c r="BFI3" s="582"/>
      <c r="BFJ3" s="582"/>
      <c r="BFK3" s="582"/>
      <c r="BFL3" s="582"/>
      <c r="BFM3" s="582"/>
      <c r="BFN3" s="582"/>
      <c r="BFO3" s="582"/>
      <c r="BFP3" s="582"/>
      <c r="BFQ3" s="582"/>
      <c r="BFR3" s="582"/>
      <c r="BFS3" s="582"/>
      <c r="BFT3" s="582"/>
      <c r="BFU3" s="582"/>
      <c r="BFV3" s="582"/>
      <c r="BFW3" s="582"/>
      <c r="BFX3" s="582"/>
      <c r="BFY3" s="582"/>
      <c r="BFZ3" s="582"/>
      <c r="BGA3" s="582"/>
      <c r="BGB3" s="582"/>
      <c r="BGC3" s="582"/>
      <c r="BGD3" s="582"/>
      <c r="BGE3" s="582"/>
      <c r="BGF3" s="582"/>
      <c r="BGG3" s="582"/>
      <c r="BGH3" s="582"/>
      <c r="BGI3" s="582"/>
      <c r="BGJ3" s="582"/>
      <c r="BGK3" s="582"/>
      <c r="BGL3" s="582"/>
      <c r="BGM3" s="582"/>
      <c r="BGN3" s="582"/>
      <c r="BGO3" s="582"/>
      <c r="BGP3" s="582"/>
      <c r="BGQ3" s="582"/>
      <c r="BGR3" s="582"/>
      <c r="BGS3" s="582"/>
      <c r="BGT3" s="582"/>
      <c r="BGU3" s="582"/>
      <c r="BGV3" s="582"/>
      <c r="BGW3" s="582"/>
      <c r="BGX3" s="582"/>
      <c r="BGY3" s="582"/>
      <c r="BGZ3" s="582"/>
      <c r="BHA3" s="582"/>
      <c r="BHB3" s="582"/>
      <c r="BHC3" s="582"/>
      <c r="BHD3" s="582"/>
      <c r="BHE3" s="582"/>
      <c r="BHF3" s="582"/>
      <c r="BHG3" s="582"/>
      <c r="BHH3" s="582"/>
      <c r="BHI3" s="582"/>
      <c r="BHJ3" s="582"/>
      <c r="BHK3" s="582"/>
      <c r="BHL3" s="582"/>
      <c r="BHM3" s="582"/>
      <c r="BHN3" s="582"/>
      <c r="BHO3" s="582"/>
      <c r="BHP3" s="582"/>
      <c r="BHQ3" s="582"/>
      <c r="BHR3" s="582"/>
      <c r="BHS3" s="582"/>
      <c r="BHT3" s="582"/>
      <c r="BHU3" s="582"/>
      <c r="BHV3" s="582"/>
      <c r="BHW3" s="582"/>
      <c r="BHX3" s="582"/>
      <c r="BHY3" s="582"/>
      <c r="BHZ3" s="582"/>
      <c r="BIA3" s="582"/>
      <c r="BIB3" s="582"/>
      <c r="BIC3" s="582"/>
      <c r="BID3" s="582"/>
      <c r="BIE3" s="582"/>
      <c r="BIF3" s="582"/>
      <c r="BIG3" s="582"/>
      <c r="BIH3" s="582"/>
      <c r="BII3" s="582"/>
      <c r="BIJ3" s="582"/>
      <c r="BIK3" s="582"/>
      <c r="BIL3" s="582"/>
      <c r="BIM3" s="582"/>
      <c r="BIN3" s="582"/>
      <c r="BIO3" s="582"/>
      <c r="BIP3" s="582"/>
      <c r="BIQ3" s="582"/>
      <c r="BIR3" s="582"/>
      <c r="BIS3" s="582"/>
      <c r="BIT3" s="582"/>
      <c r="BIU3" s="582"/>
      <c r="BIV3" s="582"/>
      <c r="BIW3" s="582"/>
      <c r="BIX3" s="582"/>
      <c r="BIY3" s="582"/>
      <c r="BIZ3" s="582"/>
      <c r="BJA3" s="582"/>
      <c r="BJB3" s="582"/>
      <c r="BJC3" s="582"/>
      <c r="BJD3" s="582"/>
      <c r="BJE3" s="582"/>
      <c r="BJF3" s="582"/>
      <c r="BJG3" s="582"/>
      <c r="BJH3" s="582"/>
      <c r="BJI3" s="582"/>
      <c r="BJJ3" s="582"/>
      <c r="BJK3" s="582"/>
      <c r="BJL3" s="582"/>
      <c r="BJM3" s="582"/>
      <c r="BJN3" s="582"/>
      <c r="BJO3" s="582"/>
      <c r="BJP3" s="582"/>
      <c r="BJQ3" s="582"/>
      <c r="BJR3" s="582"/>
      <c r="BJS3" s="582"/>
      <c r="BJT3" s="582"/>
      <c r="BJU3" s="582"/>
      <c r="BJV3" s="582"/>
      <c r="BJW3" s="582"/>
      <c r="BJX3" s="582"/>
      <c r="BJY3" s="582"/>
      <c r="BJZ3" s="582"/>
      <c r="BKA3" s="582"/>
      <c r="BKB3" s="582"/>
      <c r="BKC3" s="582"/>
      <c r="BKD3" s="582"/>
      <c r="BKE3" s="582"/>
      <c r="BKF3" s="582"/>
      <c r="BKG3" s="582"/>
      <c r="BKH3" s="582"/>
      <c r="BKI3" s="582"/>
      <c r="BKJ3" s="582"/>
      <c r="BKK3" s="582"/>
      <c r="BKL3" s="582"/>
      <c r="BKM3" s="582"/>
      <c r="BKN3" s="582"/>
      <c r="BKO3" s="582"/>
      <c r="BKP3" s="582"/>
      <c r="BKQ3" s="582"/>
      <c r="BKR3" s="582"/>
      <c r="BKS3" s="582"/>
      <c r="BKT3" s="582"/>
      <c r="BKU3" s="582"/>
      <c r="BKV3" s="582"/>
      <c r="BKW3" s="582"/>
      <c r="BKX3" s="582"/>
      <c r="BKY3" s="582"/>
      <c r="BKZ3" s="582"/>
      <c r="BLA3" s="582"/>
      <c r="BLB3" s="582"/>
      <c r="BLC3" s="582"/>
      <c r="BLD3" s="582"/>
      <c r="BLE3" s="582"/>
      <c r="BLF3" s="582"/>
      <c r="BLG3" s="582"/>
      <c r="BLH3" s="582"/>
      <c r="BLI3" s="582"/>
      <c r="BLJ3" s="582"/>
      <c r="BLK3" s="582"/>
      <c r="BLL3" s="582"/>
      <c r="BLM3" s="582"/>
      <c r="BLN3" s="582"/>
      <c r="BLO3" s="582"/>
      <c r="BLP3" s="582"/>
      <c r="BLQ3" s="582"/>
      <c r="BLR3" s="582"/>
      <c r="BLS3" s="582"/>
      <c r="BLT3" s="582"/>
      <c r="BLU3" s="582"/>
      <c r="BLV3" s="582"/>
      <c r="BLW3" s="582"/>
      <c r="BLX3" s="582"/>
      <c r="BLY3" s="582"/>
      <c r="BLZ3" s="582"/>
      <c r="BMA3" s="582"/>
      <c r="BMB3" s="582"/>
      <c r="BMC3" s="582"/>
      <c r="BMD3" s="582"/>
      <c r="BME3" s="582"/>
      <c r="BMF3" s="582"/>
      <c r="BMG3" s="582"/>
      <c r="BMH3" s="582"/>
      <c r="BMI3" s="582"/>
      <c r="BMJ3" s="582"/>
      <c r="BMK3" s="582"/>
      <c r="BML3" s="582"/>
      <c r="BMM3" s="582"/>
      <c r="BMN3" s="582"/>
      <c r="BMO3" s="582"/>
      <c r="BMP3" s="582"/>
      <c r="BMQ3" s="582"/>
      <c r="BMR3" s="582"/>
      <c r="BMS3" s="582"/>
      <c r="BMT3" s="582"/>
      <c r="BMU3" s="582"/>
      <c r="BMV3" s="582"/>
      <c r="BMW3" s="582"/>
      <c r="BMX3" s="582"/>
      <c r="BMY3" s="582"/>
      <c r="BMZ3" s="582"/>
      <c r="BNA3" s="582"/>
      <c r="BNB3" s="582"/>
      <c r="BNC3" s="582"/>
      <c r="BND3" s="582"/>
      <c r="BNE3" s="582"/>
      <c r="BNF3" s="582"/>
      <c r="BNG3" s="582"/>
      <c r="BNH3" s="582"/>
      <c r="BNI3" s="582"/>
      <c r="BNJ3" s="582"/>
      <c r="BNK3" s="582"/>
      <c r="BNL3" s="582"/>
      <c r="BNM3" s="582"/>
      <c r="BNN3" s="582"/>
      <c r="BNO3" s="582"/>
      <c r="BNP3" s="582"/>
      <c r="BNQ3" s="582"/>
      <c r="BNR3" s="582"/>
      <c r="BNS3" s="582"/>
      <c r="BNT3" s="582"/>
      <c r="BNU3" s="582"/>
      <c r="BNV3" s="582"/>
      <c r="BNW3" s="582"/>
      <c r="BNX3" s="582"/>
      <c r="BNY3" s="582"/>
      <c r="BNZ3" s="582"/>
      <c r="BOA3" s="582"/>
      <c r="BOB3" s="582"/>
      <c r="BOC3" s="582"/>
      <c r="BOD3" s="582"/>
      <c r="BOE3" s="582"/>
      <c r="BOF3" s="582"/>
      <c r="BOG3" s="582"/>
      <c r="BOH3" s="582"/>
      <c r="BOI3" s="582"/>
      <c r="BOJ3" s="582"/>
      <c r="BOK3" s="582"/>
      <c r="BOL3" s="582"/>
      <c r="BOM3" s="582"/>
      <c r="BON3" s="582"/>
      <c r="BOO3" s="582"/>
      <c r="BOP3" s="582"/>
      <c r="BOQ3" s="582"/>
      <c r="BOR3" s="582"/>
      <c r="BOS3" s="582"/>
      <c r="BOT3" s="582"/>
      <c r="BOU3" s="582"/>
      <c r="BOV3" s="582"/>
      <c r="BOW3" s="582"/>
      <c r="BOX3" s="582"/>
      <c r="BOY3" s="582"/>
      <c r="BOZ3" s="582"/>
      <c r="BPA3" s="582"/>
      <c r="BPB3" s="582"/>
      <c r="BPC3" s="582"/>
      <c r="BPD3" s="582"/>
      <c r="BPE3" s="582"/>
      <c r="BPF3" s="582"/>
      <c r="BPG3" s="582"/>
      <c r="BPH3" s="582"/>
      <c r="BPI3" s="582"/>
      <c r="BPJ3" s="582"/>
      <c r="BPK3" s="582"/>
      <c r="BPL3" s="582"/>
      <c r="BPM3" s="582"/>
      <c r="BPN3" s="582"/>
      <c r="BPO3" s="582"/>
      <c r="BPP3" s="582"/>
      <c r="BPQ3" s="582"/>
      <c r="BPR3" s="582"/>
      <c r="BPS3" s="582"/>
      <c r="BPT3" s="582"/>
      <c r="BPU3" s="582"/>
      <c r="BPV3" s="582"/>
      <c r="BPW3" s="582"/>
      <c r="BPX3" s="582"/>
      <c r="BPY3" s="582"/>
      <c r="BPZ3" s="582"/>
      <c r="BQA3" s="582"/>
      <c r="BQB3" s="582"/>
      <c r="BQC3" s="582"/>
      <c r="BQD3" s="582"/>
      <c r="BQE3" s="582"/>
      <c r="BQF3" s="582"/>
      <c r="BQG3" s="582"/>
      <c r="BQH3" s="582"/>
      <c r="BQI3" s="582"/>
      <c r="BQJ3" s="582"/>
      <c r="BQK3" s="582"/>
      <c r="BQL3" s="582"/>
      <c r="BQM3" s="582"/>
      <c r="BQN3" s="582"/>
      <c r="BQO3" s="582"/>
      <c r="BQP3" s="582"/>
      <c r="BQQ3" s="582"/>
      <c r="BQR3" s="582"/>
      <c r="BQS3" s="582"/>
      <c r="BQT3" s="582"/>
      <c r="BQU3" s="582"/>
      <c r="BQV3" s="582"/>
      <c r="BQW3" s="582"/>
      <c r="BQX3" s="582"/>
      <c r="BQY3" s="582"/>
      <c r="BQZ3" s="582"/>
      <c r="BRA3" s="582"/>
      <c r="BRB3" s="582"/>
      <c r="BRC3" s="582"/>
      <c r="BRD3" s="582"/>
      <c r="BRE3" s="582"/>
      <c r="BRF3" s="582"/>
      <c r="BRG3" s="582"/>
      <c r="BRH3" s="582"/>
      <c r="BRI3" s="582"/>
      <c r="BRJ3" s="582"/>
      <c r="BRK3" s="582"/>
      <c r="BRL3" s="582"/>
      <c r="BRM3" s="582"/>
      <c r="BRN3" s="582"/>
      <c r="BRO3" s="582"/>
      <c r="BRP3" s="582"/>
      <c r="BRQ3" s="582"/>
      <c r="BRR3" s="582"/>
      <c r="BRS3" s="582"/>
      <c r="BRT3" s="582"/>
      <c r="BRU3" s="582"/>
      <c r="BRV3" s="582"/>
      <c r="BRW3" s="582"/>
      <c r="BRX3" s="582"/>
      <c r="BRY3" s="582"/>
      <c r="BRZ3" s="582"/>
      <c r="BSA3" s="582"/>
      <c r="BSB3" s="582"/>
      <c r="BSC3" s="582"/>
      <c r="BSD3" s="582"/>
      <c r="BSE3" s="582"/>
      <c r="BSF3" s="582"/>
      <c r="BSG3" s="582"/>
      <c r="BSH3" s="582"/>
      <c r="BSI3" s="582"/>
      <c r="BSJ3" s="582"/>
      <c r="BSK3" s="582"/>
      <c r="BSL3" s="582"/>
      <c r="BSM3" s="582"/>
      <c r="BSN3" s="582"/>
      <c r="BSO3" s="582"/>
      <c r="BSP3" s="582"/>
      <c r="BSQ3" s="582"/>
      <c r="BSR3" s="582"/>
      <c r="BSS3" s="582"/>
      <c r="BST3" s="582"/>
      <c r="BSU3" s="582"/>
      <c r="BSV3" s="582"/>
      <c r="BSW3" s="582"/>
      <c r="BSX3" s="582"/>
      <c r="BSY3" s="582"/>
      <c r="BSZ3" s="582"/>
      <c r="BTA3" s="582"/>
      <c r="BTB3" s="582"/>
      <c r="BTC3" s="582"/>
      <c r="BTD3" s="582"/>
      <c r="BTE3" s="582"/>
      <c r="BTF3" s="582"/>
      <c r="BTG3" s="582"/>
      <c r="BTH3" s="582"/>
      <c r="BTI3" s="582"/>
      <c r="BTJ3" s="582"/>
      <c r="BTK3" s="582"/>
      <c r="BTL3" s="582"/>
      <c r="BTM3" s="582"/>
      <c r="BTN3" s="582"/>
      <c r="BTO3" s="582"/>
      <c r="BTP3" s="582"/>
      <c r="BTQ3" s="582"/>
      <c r="BTR3" s="582"/>
      <c r="BTS3" s="582"/>
      <c r="BTT3" s="582"/>
      <c r="BTU3" s="582"/>
      <c r="BTV3" s="582"/>
      <c r="BTW3" s="582"/>
      <c r="BTX3" s="582"/>
      <c r="BTY3" s="582"/>
      <c r="BTZ3" s="582"/>
      <c r="BUA3" s="582"/>
      <c r="BUB3" s="582"/>
      <c r="BUC3" s="582"/>
      <c r="BUD3" s="582"/>
      <c r="BUE3" s="582"/>
      <c r="BUF3" s="582"/>
      <c r="BUG3" s="582"/>
      <c r="BUH3" s="582"/>
      <c r="BUI3" s="582"/>
      <c r="BUJ3" s="582"/>
      <c r="BUK3" s="582"/>
      <c r="BUL3" s="582"/>
      <c r="BUM3" s="582"/>
      <c r="BUN3" s="582"/>
      <c r="BUO3" s="582"/>
      <c r="BUP3" s="582"/>
      <c r="BUQ3" s="582"/>
      <c r="BUR3" s="582"/>
      <c r="BUS3" s="582"/>
      <c r="BUT3" s="582"/>
      <c r="BUU3" s="582"/>
      <c r="BUV3" s="582"/>
      <c r="BUW3" s="582"/>
      <c r="BUX3" s="582"/>
      <c r="BUY3" s="582"/>
      <c r="BUZ3" s="582"/>
      <c r="BVA3" s="582"/>
      <c r="BVB3" s="582"/>
      <c r="BVC3" s="582"/>
      <c r="BVD3" s="582"/>
      <c r="BVE3" s="582"/>
      <c r="BVF3" s="582"/>
      <c r="BVG3" s="582"/>
      <c r="BVH3" s="582"/>
      <c r="BVI3" s="582"/>
      <c r="BVJ3" s="582"/>
      <c r="BVK3" s="582"/>
      <c r="BVL3" s="582"/>
      <c r="BVM3" s="582"/>
      <c r="BVN3" s="582"/>
      <c r="BVO3" s="582"/>
      <c r="BVP3" s="582"/>
      <c r="BVQ3" s="582"/>
      <c r="BVR3" s="582"/>
      <c r="BVS3" s="582"/>
      <c r="BVT3" s="582"/>
      <c r="BVU3" s="582"/>
      <c r="BVV3" s="582"/>
      <c r="BVW3" s="582"/>
      <c r="BVX3" s="582"/>
      <c r="BVY3" s="582"/>
      <c r="BVZ3" s="582"/>
      <c r="BWA3" s="582"/>
      <c r="BWB3" s="582"/>
      <c r="BWC3" s="582"/>
      <c r="BWD3" s="582"/>
      <c r="BWE3" s="582"/>
      <c r="BWF3" s="582"/>
      <c r="BWG3" s="582"/>
      <c r="BWH3" s="582"/>
      <c r="BWI3" s="582"/>
      <c r="BWJ3" s="582"/>
      <c r="BWK3" s="582"/>
      <c r="BWL3" s="582"/>
      <c r="BWM3" s="582"/>
      <c r="BWN3" s="582"/>
      <c r="BWO3" s="582"/>
      <c r="BWP3" s="582"/>
      <c r="BWQ3" s="582"/>
      <c r="BWR3" s="582"/>
      <c r="BWS3" s="582"/>
      <c r="BWT3" s="582"/>
      <c r="BWU3" s="582"/>
      <c r="BWV3" s="582"/>
      <c r="BWW3" s="582"/>
      <c r="BWX3" s="582"/>
      <c r="BWY3" s="582"/>
      <c r="BWZ3" s="582"/>
      <c r="BXA3" s="582"/>
      <c r="BXB3" s="582"/>
      <c r="BXC3" s="582"/>
      <c r="BXD3" s="582"/>
      <c r="BXE3" s="582"/>
      <c r="BXF3" s="582"/>
      <c r="BXG3" s="582"/>
      <c r="BXH3" s="582"/>
      <c r="BXI3" s="582"/>
      <c r="BXJ3" s="582"/>
      <c r="BXK3" s="582"/>
      <c r="BXL3" s="582"/>
      <c r="BXM3" s="582"/>
      <c r="BXN3" s="582"/>
      <c r="BXO3" s="582"/>
      <c r="BXP3" s="582"/>
      <c r="BXQ3" s="582"/>
      <c r="BXR3" s="582"/>
      <c r="BXS3" s="582"/>
      <c r="BXT3" s="582"/>
      <c r="BXU3" s="582"/>
      <c r="BXV3" s="582"/>
      <c r="BXW3" s="582"/>
      <c r="BXX3" s="582"/>
      <c r="BXY3" s="582"/>
      <c r="BXZ3" s="582"/>
      <c r="BYA3" s="582"/>
      <c r="BYB3" s="582"/>
      <c r="BYC3" s="582"/>
      <c r="BYD3" s="582"/>
      <c r="BYE3" s="582"/>
      <c r="BYF3" s="582"/>
      <c r="BYG3" s="582"/>
      <c r="BYH3" s="582"/>
      <c r="BYI3" s="582"/>
      <c r="BYJ3" s="582"/>
      <c r="BYK3" s="582"/>
      <c r="BYL3" s="582"/>
      <c r="BYM3" s="582"/>
      <c r="BYN3" s="582"/>
      <c r="BYO3" s="582"/>
      <c r="BYP3" s="582"/>
      <c r="BYQ3" s="582"/>
      <c r="BYR3" s="582"/>
      <c r="BYS3" s="582"/>
      <c r="BYT3" s="582"/>
      <c r="BYU3" s="582"/>
      <c r="BYV3" s="582"/>
      <c r="BYW3" s="582"/>
      <c r="BYX3" s="582"/>
      <c r="BYY3" s="582"/>
      <c r="BYZ3" s="582"/>
      <c r="BZA3" s="582"/>
      <c r="BZB3" s="582"/>
      <c r="BZC3" s="582"/>
      <c r="BZD3" s="582"/>
      <c r="BZE3" s="582"/>
      <c r="BZF3" s="582"/>
      <c r="BZG3" s="582"/>
      <c r="BZH3" s="582"/>
      <c r="BZI3" s="582"/>
      <c r="BZJ3" s="582"/>
      <c r="BZK3" s="582"/>
      <c r="BZL3" s="582"/>
      <c r="BZM3" s="582"/>
      <c r="BZN3" s="582"/>
      <c r="BZO3" s="582"/>
      <c r="BZP3" s="582"/>
      <c r="BZQ3" s="582"/>
      <c r="BZR3" s="582"/>
      <c r="BZS3" s="582"/>
      <c r="BZT3" s="582"/>
      <c r="BZU3" s="582"/>
      <c r="BZV3" s="582"/>
      <c r="BZW3" s="582"/>
      <c r="BZX3" s="582"/>
      <c r="BZY3" s="582"/>
      <c r="BZZ3" s="582"/>
      <c r="CAA3" s="582"/>
      <c r="CAB3" s="582"/>
      <c r="CAC3" s="582"/>
      <c r="CAD3" s="582"/>
      <c r="CAE3" s="582"/>
      <c r="CAF3" s="582"/>
      <c r="CAG3" s="582"/>
      <c r="CAH3" s="582"/>
      <c r="CAI3" s="582"/>
      <c r="CAJ3" s="582"/>
      <c r="CAK3" s="582"/>
      <c r="CAL3" s="582"/>
      <c r="CAM3" s="582"/>
      <c r="CAN3" s="582"/>
      <c r="CAO3" s="582"/>
      <c r="CAP3" s="582"/>
      <c r="CAQ3" s="582"/>
      <c r="CAR3" s="582"/>
      <c r="CAS3" s="582"/>
      <c r="CAT3" s="582"/>
      <c r="CAU3" s="582"/>
      <c r="CAV3" s="582"/>
      <c r="CAW3" s="582"/>
      <c r="CAX3" s="582"/>
      <c r="CAY3" s="582"/>
      <c r="CAZ3" s="582"/>
      <c r="CBA3" s="582"/>
      <c r="CBB3" s="582"/>
      <c r="CBC3" s="582"/>
      <c r="CBD3" s="582"/>
      <c r="CBE3" s="582"/>
      <c r="CBF3" s="582"/>
      <c r="CBG3" s="582"/>
      <c r="CBH3" s="582"/>
      <c r="CBI3" s="582"/>
      <c r="CBJ3" s="582"/>
      <c r="CBK3" s="582"/>
      <c r="CBL3" s="582"/>
      <c r="CBM3" s="582"/>
      <c r="CBN3" s="582"/>
      <c r="CBO3" s="582"/>
      <c r="CBP3" s="582"/>
      <c r="CBQ3" s="582"/>
      <c r="CBR3" s="582"/>
      <c r="CBS3" s="582"/>
      <c r="CBT3" s="582"/>
      <c r="CBU3" s="582"/>
      <c r="CBV3" s="582"/>
      <c r="CBW3" s="582"/>
      <c r="CBX3" s="582"/>
      <c r="CBY3" s="582"/>
      <c r="CBZ3" s="582"/>
      <c r="CCA3" s="582"/>
      <c r="CCB3" s="582"/>
      <c r="CCC3" s="582"/>
      <c r="CCD3" s="582"/>
      <c r="CCE3" s="582"/>
      <c r="CCF3" s="582"/>
      <c r="CCG3" s="582"/>
      <c r="CCH3" s="582"/>
      <c r="CCI3" s="582"/>
      <c r="CCJ3" s="582"/>
      <c r="CCK3" s="582"/>
      <c r="CCL3" s="582"/>
      <c r="CCM3" s="582"/>
      <c r="CCN3" s="582"/>
      <c r="CCO3" s="582"/>
      <c r="CCP3" s="582"/>
      <c r="CCQ3" s="582"/>
      <c r="CCR3" s="582"/>
      <c r="CCS3" s="582"/>
      <c r="CCT3" s="582"/>
      <c r="CCU3" s="582"/>
      <c r="CCV3" s="582"/>
      <c r="CCW3" s="582"/>
      <c r="CCX3" s="582"/>
      <c r="CCY3" s="582"/>
      <c r="CCZ3" s="582"/>
      <c r="CDA3" s="582"/>
      <c r="CDB3" s="582"/>
      <c r="CDC3" s="582"/>
      <c r="CDD3" s="582"/>
      <c r="CDE3" s="582"/>
      <c r="CDF3" s="582"/>
      <c r="CDG3" s="582"/>
      <c r="CDH3" s="582"/>
      <c r="CDI3" s="582"/>
      <c r="CDJ3" s="582"/>
      <c r="CDK3" s="582"/>
      <c r="CDL3" s="582"/>
      <c r="CDM3" s="582"/>
      <c r="CDN3" s="582"/>
      <c r="CDO3" s="582"/>
      <c r="CDP3" s="582"/>
      <c r="CDQ3" s="582"/>
      <c r="CDR3" s="582"/>
      <c r="CDS3" s="582"/>
      <c r="CDT3" s="582"/>
      <c r="CDU3" s="582"/>
      <c r="CDV3" s="582"/>
      <c r="CDW3" s="582"/>
      <c r="CDX3" s="582"/>
      <c r="CDY3" s="582"/>
      <c r="CDZ3" s="582"/>
      <c r="CEA3" s="582"/>
      <c r="CEB3" s="582"/>
      <c r="CEC3" s="582"/>
      <c r="CED3" s="582"/>
      <c r="CEE3" s="582"/>
      <c r="CEF3" s="582"/>
      <c r="CEG3" s="582"/>
      <c r="CEH3" s="582"/>
      <c r="CEI3" s="582"/>
      <c r="CEJ3" s="582"/>
      <c r="CEK3" s="582"/>
      <c r="CEL3" s="582"/>
      <c r="CEM3" s="582"/>
      <c r="CEN3" s="582"/>
      <c r="CEO3" s="582"/>
      <c r="CEP3" s="582"/>
      <c r="CEQ3" s="582"/>
      <c r="CER3" s="582"/>
      <c r="CES3" s="582"/>
      <c r="CET3" s="582"/>
      <c r="CEU3" s="582"/>
      <c r="CEV3" s="582"/>
      <c r="CEW3" s="582"/>
      <c r="CEX3" s="582"/>
      <c r="CEY3" s="582"/>
      <c r="CEZ3" s="582"/>
      <c r="CFA3" s="582"/>
      <c r="CFB3" s="582"/>
      <c r="CFC3" s="582"/>
      <c r="CFD3" s="582"/>
      <c r="CFE3" s="582"/>
      <c r="CFF3" s="582"/>
      <c r="CFG3" s="582"/>
      <c r="CFH3" s="582"/>
      <c r="CFI3" s="582"/>
      <c r="CFJ3" s="582"/>
      <c r="CFK3" s="582"/>
      <c r="CFL3" s="582"/>
      <c r="CFM3" s="582"/>
      <c r="CFN3" s="582"/>
      <c r="CFO3" s="582"/>
      <c r="CFP3" s="582"/>
      <c r="CFQ3" s="582"/>
      <c r="CFR3" s="582"/>
      <c r="CFS3" s="582"/>
      <c r="CFT3" s="582"/>
      <c r="CFU3" s="582"/>
      <c r="CFV3" s="582"/>
      <c r="CFW3" s="582"/>
      <c r="CFX3" s="582"/>
      <c r="CFY3" s="582"/>
      <c r="CFZ3" s="582"/>
      <c r="CGA3" s="582"/>
      <c r="CGB3" s="582"/>
      <c r="CGC3" s="582"/>
      <c r="CGD3" s="582"/>
      <c r="CGE3" s="582"/>
      <c r="CGF3" s="582"/>
      <c r="CGG3" s="582"/>
      <c r="CGH3" s="582"/>
      <c r="CGI3" s="582"/>
      <c r="CGJ3" s="582"/>
      <c r="CGK3" s="582"/>
      <c r="CGL3" s="582"/>
      <c r="CGM3" s="582"/>
      <c r="CGN3" s="582"/>
      <c r="CGO3" s="582"/>
      <c r="CGP3" s="582"/>
      <c r="CGQ3" s="582"/>
      <c r="CGR3" s="582"/>
      <c r="CGS3" s="582"/>
      <c r="CGT3" s="582"/>
      <c r="CGU3" s="582"/>
      <c r="CGV3" s="582"/>
      <c r="CGW3" s="582"/>
      <c r="CGX3" s="582"/>
      <c r="CGY3" s="582"/>
      <c r="CGZ3" s="582"/>
      <c r="CHA3" s="582"/>
      <c r="CHB3" s="582"/>
      <c r="CHC3" s="582"/>
      <c r="CHD3" s="582"/>
      <c r="CHE3" s="582"/>
      <c r="CHF3" s="582"/>
      <c r="CHG3" s="582"/>
      <c r="CHH3" s="582"/>
      <c r="CHI3" s="582"/>
      <c r="CHJ3" s="582"/>
      <c r="CHK3" s="582"/>
      <c r="CHL3" s="582"/>
      <c r="CHM3" s="582"/>
      <c r="CHN3" s="582"/>
      <c r="CHO3" s="582"/>
      <c r="CHP3" s="582"/>
      <c r="CHQ3" s="582"/>
      <c r="CHR3" s="582"/>
      <c r="CHS3" s="582"/>
      <c r="CHT3" s="582"/>
      <c r="CHU3" s="582"/>
      <c r="CHV3" s="582"/>
      <c r="CHW3" s="582"/>
      <c r="CHX3" s="582"/>
      <c r="CHY3" s="582"/>
      <c r="CHZ3" s="582"/>
      <c r="CIA3" s="582"/>
      <c r="CIB3" s="582"/>
      <c r="CIC3" s="582"/>
      <c r="CID3" s="582"/>
      <c r="CIE3" s="582"/>
      <c r="CIF3" s="582"/>
      <c r="CIG3" s="582"/>
      <c r="CIH3" s="582"/>
      <c r="CII3" s="582"/>
      <c r="CIJ3" s="582"/>
      <c r="CIK3" s="582"/>
      <c r="CIL3" s="582"/>
      <c r="CIM3" s="582"/>
      <c r="CIN3" s="582"/>
      <c r="CIO3" s="582"/>
      <c r="CIP3" s="582"/>
      <c r="CIQ3" s="582"/>
      <c r="CIR3" s="582"/>
      <c r="CIS3" s="582"/>
      <c r="CIT3" s="582"/>
      <c r="CIU3" s="582"/>
      <c r="CIV3" s="582"/>
      <c r="CIW3" s="582"/>
      <c r="CIX3" s="582"/>
      <c r="CIY3" s="582"/>
      <c r="CIZ3" s="582"/>
      <c r="CJA3" s="582"/>
      <c r="CJB3" s="582"/>
      <c r="CJC3" s="582"/>
      <c r="CJD3" s="582"/>
      <c r="CJE3" s="582"/>
      <c r="CJF3" s="582"/>
      <c r="CJG3" s="582"/>
      <c r="CJH3" s="582"/>
      <c r="CJI3" s="582"/>
      <c r="CJJ3" s="582"/>
      <c r="CJK3" s="582"/>
      <c r="CJL3" s="582"/>
      <c r="CJM3" s="582"/>
      <c r="CJN3" s="582"/>
      <c r="CJO3" s="582"/>
      <c r="CJP3" s="582"/>
      <c r="CJQ3" s="582"/>
      <c r="CJR3" s="582"/>
      <c r="CJS3" s="582"/>
      <c r="CJT3" s="582"/>
      <c r="CJU3" s="582"/>
      <c r="CJV3" s="582"/>
      <c r="CJW3" s="582"/>
      <c r="CJX3" s="582"/>
      <c r="CJY3" s="582"/>
      <c r="CJZ3" s="582"/>
      <c r="CKA3" s="582"/>
      <c r="CKB3" s="582"/>
      <c r="CKC3" s="582"/>
      <c r="CKD3" s="582"/>
      <c r="CKE3" s="582"/>
      <c r="CKF3" s="582"/>
      <c r="CKG3" s="582"/>
      <c r="CKH3" s="582"/>
      <c r="CKI3" s="582"/>
      <c r="CKJ3" s="582"/>
      <c r="CKK3" s="582"/>
      <c r="CKL3" s="582"/>
      <c r="CKM3" s="582"/>
      <c r="CKN3" s="582"/>
      <c r="CKO3" s="582"/>
      <c r="CKP3" s="582"/>
      <c r="CKQ3" s="582"/>
      <c r="CKR3" s="582"/>
      <c r="CKS3" s="582"/>
      <c r="CKT3" s="582"/>
      <c r="CKU3" s="582"/>
      <c r="CKV3" s="582"/>
      <c r="CKW3" s="582"/>
      <c r="CKX3" s="582"/>
      <c r="CKY3" s="582"/>
      <c r="CKZ3" s="582"/>
      <c r="CLA3" s="582"/>
      <c r="CLB3" s="582"/>
      <c r="CLC3" s="582"/>
      <c r="CLD3" s="582"/>
      <c r="CLE3" s="582"/>
      <c r="CLF3" s="582"/>
      <c r="CLG3" s="582"/>
      <c r="CLH3" s="582"/>
      <c r="CLI3" s="582"/>
      <c r="CLJ3" s="582"/>
      <c r="CLK3" s="582"/>
      <c r="CLL3" s="582"/>
      <c r="CLM3" s="582"/>
      <c r="CLN3" s="582"/>
      <c r="CLO3" s="582"/>
      <c r="CLP3" s="582"/>
      <c r="CLQ3" s="582"/>
      <c r="CLR3" s="582"/>
      <c r="CLS3" s="582"/>
      <c r="CLT3" s="582"/>
      <c r="CLU3" s="582"/>
      <c r="CLV3" s="582"/>
      <c r="CLW3" s="582"/>
      <c r="CLX3" s="582"/>
      <c r="CLY3" s="582"/>
      <c r="CLZ3" s="582"/>
      <c r="CMA3" s="582"/>
      <c r="CMB3" s="582"/>
      <c r="CMC3" s="582"/>
      <c r="CMD3" s="582"/>
      <c r="CME3" s="582"/>
      <c r="CMF3" s="582"/>
      <c r="CMG3" s="582"/>
      <c r="CMH3" s="582"/>
      <c r="CMI3" s="582"/>
      <c r="CMJ3" s="582"/>
      <c r="CMK3" s="582"/>
      <c r="CML3" s="582"/>
      <c r="CMM3" s="582"/>
      <c r="CMN3" s="582"/>
      <c r="CMO3" s="582"/>
      <c r="CMP3" s="582"/>
      <c r="CMQ3" s="582"/>
      <c r="CMR3" s="582"/>
      <c r="CMS3" s="582"/>
      <c r="CMT3" s="582"/>
      <c r="CMU3" s="582"/>
      <c r="CMV3" s="582"/>
      <c r="CMW3" s="582"/>
      <c r="CMX3" s="582"/>
      <c r="CMY3" s="582"/>
      <c r="CMZ3" s="582"/>
      <c r="CNA3" s="582"/>
      <c r="CNB3" s="582"/>
      <c r="CNC3" s="582"/>
      <c r="CND3" s="582"/>
      <c r="CNE3" s="582"/>
      <c r="CNF3" s="582"/>
      <c r="CNG3" s="582"/>
      <c r="CNH3" s="582"/>
      <c r="CNI3" s="582"/>
      <c r="CNJ3" s="582"/>
      <c r="CNK3" s="582"/>
      <c r="CNL3" s="582"/>
      <c r="CNM3" s="582"/>
      <c r="CNN3" s="582"/>
      <c r="CNO3" s="582"/>
      <c r="CNP3" s="582"/>
      <c r="CNQ3" s="582"/>
      <c r="CNR3" s="582"/>
      <c r="CNS3" s="582"/>
      <c r="CNT3" s="582"/>
      <c r="CNU3" s="582"/>
      <c r="CNV3" s="582"/>
      <c r="CNW3" s="582"/>
      <c r="CNX3" s="582"/>
      <c r="CNY3" s="582"/>
      <c r="CNZ3" s="582"/>
      <c r="COA3" s="582"/>
      <c r="COB3" s="582"/>
      <c r="COC3" s="582"/>
      <c r="COD3" s="582"/>
      <c r="COE3" s="582"/>
      <c r="COF3" s="582"/>
      <c r="COG3" s="582"/>
      <c r="COH3" s="582"/>
      <c r="COI3" s="582"/>
      <c r="COJ3" s="582"/>
      <c r="COK3" s="582"/>
      <c r="COL3" s="582"/>
      <c r="COM3" s="582"/>
      <c r="CON3" s="582"/>
      <c r="COO3" s="582"/>
      <c r="COP3" s="582"/>
      <c r="COQ3" s="582"/>
      <c r="COR3" s="582"/>
      <c r="COS3" s="582"/>
      <c r="COT3" s="582"/>
      <c r="COU3" s="582"/>
      <c r="COV3" s="582"/>
      <c r="COW3" s="582"/>
      <c r="COX3" s="582"/>
      <c r="COY3" s="582"/>
      <c r="COZ3" s="582"/>
      <c r="CPA3" s="582"/>
      <c r="CPB3" s="582"/>
      <c r="CPC3" s="582"/>
      <c r="CPD3" s="582"/>
      <c r="CPE3" s="582"/>
      <c r="CPF3" s="582"/>
      <c r="CPG3" s="582"/>
      <c r="CPH3" s="582"/>
      <c r="CPI3" s="582"/>
      <c r="CPJ3" s="582"/>
      <c r="CPK3" s="582"/>
      <c r="CPL3" s="582"/>
      <c r="CPM3" s="582"/>
      <c r="CPN3" s="582"/>
      <c r="CPO3" s="582"/>
      <c r="CPP3" s="582"/>
      <c r="CPQ3" s="582"/>
      <c r="CPR3" s="582"/>
      <c r="CPS3" s="582"/>
      <c r="CPT3" s="582"/>
      <c r="CPU3" s="582"/>
      <c r="CPV3" s="582"/>
      <c r="CPW3" s="582"/>
      <c r="CPX3" s="582"/>
      <c r="CPY3" s="582"/>
      <c r="CPZ3" s="582"/>
      <c r="CQA3" s="582"/>
      <c r="CQB3" s="582"/>
      <c r="CQC3" s="582"/>
      <c r="CQD3" s="582"/>
      <c r="CQE3" s="582"/>
      <c r="CQF3" s="582"/>
      <c r="CQG3" s="582"/>
      <c r="CQH3" s="582"/>
      <c r="CQI3" s="582"/>
      <c r="CQJ3" s="582"/>
      <c r="CQK3" s="582"/>
      <c r="CQL3" s="582"/>
      <c r="CQM3" s="582"/>
      <c r="CQN3" s="582"/>
      <c r="CQO3" s="582"/>
      <c r="CQP3" s="582"/>
      <c r="CQQ3" s="582"/>
      <c r="CQR3" s="582"/>
      <c r="CQS3" s="582"/>
      <c r="CQT3" s="582"/>
      <c r="CQU3" s="582"/>
      <c r="CQV3" s="582"/>
      <c r="CQW3" s="582"/>
      <c r="CQX3" s="582"/>
      <c r="CQY3" s="582"/>
      <c r="CQZ3" s="582"/>
      <c r="CRA3" s="582"/>
      <c r="CRB3" s="582"/>
      <c r="CRC3" s="582"/>
      <c r="CRD3" s="582"/>
      <c r="CRE3" s="582"/>
      <c r="CRF3" s="582"/>
      <c r="CRG3" s="582"/>
      <c r="CRH3" s="582"/>
      <c r="CRI3" s="582"/>
      <c r="CRJ3" s="582"/>
      <c r="CRK3" s="582"/>
      <c r="CRL3" s="582"/>
      <c r="CRM3" s="582"/>
      <c r="CRN3" s="582"/>
      <c r="CRO3" s="582"/>
      <c r="CRP3" s="582"/>
      <c r="CRQ3" s="582"/>
      <c r="CRR3" s="582"/>
      <c r="CRS3" s="582"/>
      <c r="CRT3" s="582"/>
      <c r="CRU3" s="582"/>
      <c r="CRV3" s="582"/>
      <c r="CRW3" s="582"/>
      <c r="CRX3" s="582"/>
      <c r="CRY3" s="582"/>
      <c r="CRZ3" s="582"/>
      <c r="CSA3" s="582"/>
      <c r="CSB3" s="582"/>
      <c r="CSC3" s="582"/>
      <c r="CSD3" s="582"/>
      <c r="CSE3" s="582"/>
      <c r="CSF3" s="582"/>
      <c r="CSG3" s="582"/>
      <c r="CSH3" s="582"/>
      <c r="CSI3" s="582"/>
      <c r="CSJ3" s="582"/>
      <c r="CSK3" s="582"/>
      <c r="CSL3" s="582"/>
      <c r="CSM3" s="582"/>
      <c r="CSN3" s="582"/>
      <c r="CSO3" s="582"/>
      <c r="CSP3" s="582"/>
      <c r="CSQ3" s="582"/>
      <c r="CSR3" s="582"/>
      <c r="CSS3" s="582"/>
      <c r="CST3" s="582"/>
      <c r="CSU3" s="582"/>
      <c r="CSV3" s="582"/>
      <c r="CSW3" s="582"/>
      <c r="CSX3" s="582"/>
      <c r="CSY3" s="582"/>
      <c r="CSZ3" s="582"/>
      <c r="CTA3" s="582"/>
      <c r="CTB3" s="582"/>
      <c r="CTC3" s="582"/>
      <c r="CTD3" s="582"/>
      <c r="CTE3" s="582"/>
      <c r="CTF3" s="582"/>
      <c r="CTG3" s="582"/>
      <c r="CTH3" s="582"/>
      <c r="CTI3" s="582"/>
      <c r="CTJ3" s="582"/>
      <c r="CTK3" s="582"/>
      <c r="CTL3" s="582"/>
      <c r="CTM3" s="582"/>
      <c r="CTN3" s="582"/>
      <c r="CTO3" s="582"/>
      <c r="CTP3" s="582"/>
      <c r="CTQ3" s="582"/>
      <c r="CTR3" s="582"/>
      <c r="CTS3" s="582"/>
      <c r="CTT3" s="582"/>
      <c r="CTU3" s="582"/>
      <c r="CTV3" s="582"/>
      <c r="CTW3" s="582"/>
      <c r="CTX3" s="582"/>
      <c r="CTY3" s="582"/>
      <c r="CTZ3" s="582"/>
      <c r="CUA3" s="582"/>
      <c r="CUB3" s="582"/>
      <c r="CUC3" s="582"/>
      <c r="CUD3" s="582"/>
      <c r="CUE3" s="582"/>
      <c r="CUF3" s="582"/>
      <c r="CUG3" s="582"/>
      <c r="CUH3" s="582"/>
      <c r="CUI3" s="582"/>
      <c r="CUJ3" s="582"/>
      <c r="CUK3" s="582"/>
      <c r="CUL3" s="582"/>
      <c r="CUM3" s="582"/>
      <c r="CUN3" s="582"/>
      <c r="CUO3" s="582"/>
      <c r="CUP3" s="582"/>
      <c r="CUQ3" s="582"/>
      <c r="CUR3" s="582"/>
      <c r="CUS3" s="582"/>
      <c r="CUT3" s="582"/>
      <c r="CUU3" s="582"/>
      <c r="CUV3" s="582"/>
      <c r="CUW3" s="582"/>
      <c r="CUX3" s="582"/>
      <c r="CUY3" s="582"/>
      <c r="CUZ3" s="582"/>
      <c r="CVA3" s="582"/>
      <c r="CVB3" s="582"/>
      <c r="CVC3" s="582"/>
      <c r="CVD3" s="582"/>
      <c r="CVE3" s="582"/>
      <c r="CVF3" s="582"/>
      <c r="CVG3" s="582"/>
      <c r="CVH3" s="582"/>
      <c r="CVI3" s="582"/>
      <c r="CVJ3" s="582"/>
      <c r="CVK3" s="582"/>
      <c r="CVL3" s="582"/>
      <c r="CVM3" s="582"/>
      <c r="CVN3" s="582"/>
      <c r="CVO3" s="582"/>
      <c r="CVP3" s="582"/>
      <c r="CVQ3" s="582"/>
      <c r="CVR3" s="582"/>
      <c r="CVS3" s="582"/>
      <c r="CVT3" s="582"/>
      <c r="CVU3" s="582"/>
      <c r="CVV3" s="582"/>
      <c r="CVW3" s="582"/>
      <c r="CVX3" s="582"/>
      <c r="CVY3" s="582"/>
      <c r="CVZ3" s="582"/>
      <c r="CWA3" s="582"/>
      <c r="CWB3" s="582"/>
      <c r="CWC3" s="582"/>
      <c r="CWD3" s="582"/>
      <c r="CWE3" s="582"/>
      <c r="CWF3" s="582"/>
      <c r="CWG3" s="582"/>
      <c r="CWH3" s="582"/>
      <c r="CWI3" s="582"/>
      <c r="CWJ3" s="582"/>
      <c r="CWK3" s="582"/>
      <c r="CWL3" s="582"/>
      <c r="CWM3" s="582"/>
      <c r="CWN3" s="582"/>
      <c r="CWO3" s="582"/>
      <c r="CWP3" s="582"/>
      <c r="CWQ3" s="582"/>
      <c r="CWR3" s="582"/>
      <c r="CWS3" s="582"/>
      <c r="CWT3" s="582"/>
      <c r="CWU3" s="582"/>
      <c r="CWV3" s="582"/>
      <c r="CWW3" s="582"/>
      <c r="CWX3" s="582"/>
      <c r="CWY3" s="582"/>
      <c r="CWZ3" s="582"/>
      <c r="CXA3" s="582"/>
      <c r="CXB3" s="582"/>
      <c r="CXC3" s="582"/>
      <c r="CXD3" s="582"/>
      <c r="CXE3" s="582"/>
      <c r="CXF3" s="582"/>
      <c r="CXG3" s="582"/>
      <c r="CXH3" s="582"/>
      <c r="CXI3" s="582"/>
      <c r="CXJ3" s="582"/>
      <c r="CXK3" s="582"/>
      <c r="CXL3" s="582"/>
      <c r="CXM3" s="582"/>
      <c r="CXN3" s="582"/>
      <c r="CXO3" s="582"/>
      <c r="CXP3" s="582"/>
      <c r="CXQ3" s="582"/>
      <c r="CXR3" s="582"/>
      <c r="CXS3" s="582"/>
      <c r="CXT3" s="582"/>
      <c r="CXU3" s="582"/>
      <c r="CXV3" s="582"/>
      <c r="CXW3" s="582"/>
      <c r="CXX3" s="582"/>
      <c r="CXY3" s="582"/>
      <c r="CXZ3" s="582"/>
      <c r="CYA3" s="582"/>
      <c r="CYB3" s="582"/>
      <c r="CYC3" s="582"/>
      <c r="CYD3" s="582"/>
      <c r="CYE3" s="582"/>
      <c r="CYF3" s="582"/>
      <c r="CYG3" s="582"/>
      <c r="CYH3" s="582"/>
      <c r="CYI3" s="582"/>
      <c r="CYJ3" s="582"/>
      <c r="CYK3" s="582"/>
      <c r="CYL3" s="582"/>
      <c r="CYM3" s="582"/>
      <c r="CYN3" s="582"/>
      <c r="CYO3" s="582"/>
      <c r="CYP3" s="582"/>
      <c r="CYQ3" s="582"/>
      <c r="CYR3" s="582"/>
      <c r="CYS3" s="582"/>
      <c r="CYT3" s="582"/>
      <c r="CYU3" s="582"/>
      <c r="CYV3" s="582"/>
      <c r="CYW3" s="582"/>
      <c r="CYX3" s="582"/>
      <c r="CYY3" s="582"/>
      <c r="CYZ3" s="582"/>
      <c r="CZA3" s="582"/>
      <c r="CZB3" s="582"/>
      <c r="CZC3" s="582"/>
      <c r="CZD3" s="582"/>
      <c r="CZE3" s="582"/>
      <c r="CZF3" s="582"/>
      <c r="CZG3" s="582"/>
      <c r="CZH3" s="582"/>
      <c r="CZI3" s="582"/>
      <c r="CZJ3" s="582"/>
      <c r="CZK3" s="582"/>
      <c r="CZL3" s="582"/>
      <c r="CZM3" s="582"/>
      <c r="CZN3" s="582"/>
      <c r="CZO3" s="582"/>
      <c r="CZP3" s="582"/>
      <c r="CZQ3" s="582"/>
      <c r="CZR3" s="582"/>
      <c r="CZS3" s="582"/>
      <c r="CZT3" s="582"/>
      <c r="CZU3" s="582"/>
      <c r="CZV3" s="582"/>
      <c r="CZW3" s="582"/>
      <c r="CZX3" s="582"/>
      <c r="CZY3" s="582"/>
      <c r="CZZ3" s="582"/>
      <c r="DAA3" s="582"/>
      <c r="DAB3" s="582"/>
      <c r="DAC3" s="582"/>
      <c r="DAD3" s="582"/>
      <c r="DAE3" s="582"/>
      <c r="DAF3" s="582"/>
      <c r="DAG3" s="582"/>
      <c r="DAH3" s="582"/>
      <c r="DAI3" s="582"/>
      <c r="DAJ3" s="582"/>
      <c r="DAK3" s="582"/>
      <c r="DAL3" s="582"/>
      <c r="DAM3" s="582"/>
      <c r="DAN3" s="582"/>
      <c r="DAO3" s="582"/>
      <c r="DAP3" s="582"/>
      <c r="DAQ3" s="582"/>
      <c r="DAR3" s="582"/>
      <c r="DAS3" s="582"/>
      <c r="DAT3" s="582"/>
      <c r="DAU3" s="582"/>
      <c r="DAV3" s="582"/>
      <c r="DAW3" s="582"/>
      <c r="DAX3" s="582"/>
      <c r="DAY3" s="582"/>
      <c r="DAZ3" s="582"/>
      <c r="DBA3" s="582"/>
      <c r="DBB3" s="582"/>
      <c r="DBC3" s="582"/>
      <c r="DBD3" s="582"/>
      <c r="DBE3" s="582"/>
      <c r="DBF3" s="582"/>
      <c r="DBG3" s="582"/>
      <c r="DBH3" s="582"/>
      <c r="DBI3" s="582"/>
      <c r="DBJ3" s="582"/>
      <c r="DBK3" s="582"/>
      <c r="DBL3" s="582"/>
      <c r="DBM3" s="582"/>
      <c r="DBN3" s="582"/>
      <c r="DBO3" s="582"/>
      <c r="DBP3" s="582"/>
      <c r="DBQ3" s="582"/>
      <c r="DBR3" s="582"/>
      <c r="DBS3" s="582"/>
      <c r="DBT3" s="582"/>
      <c r="DBU3" s="582"/>
      <c r="DBV3" s="582"/>
      <c r="DBW3" s="582"/>
      <c r="DBX3" s="582"/>
      <c r="DBY3" s="582"/>
      <c r="DBZ3" s="582"/>
      <c r="DCA3" s="582"/>
      <c r="DCB3" s="582"/>
      <c r="DCC3" s="582"/>
      <c r="DCD3" s="582"/>
      <c r="DCE3" s="582"/>
      <c r="DCF3" s="582"/>
      <c r="DCG3" s="582"/>
      <c r="DCH3" s="582"/>
      <c r="DCI3" s="582"/>
      <c r="DCJ3" s="582"/>
      <c r="DCK3" s="582"/>
      <c r="DCL3" s="582"/>
      <c r="DCM3" s="582"/>
      <c r="DCN3" s="582"/>
      <c r="DCO3" s="582"/>
      <c r="DCP3" s="582"/>
      <c r="DCQ3" s="582"/>
      <c r="DCR3" s="582"/>
      <c r="DCS3" s="582"/>
      <c r="DCT3" s="582"/>
      <c r="DCU3" s="582"/>
      <c r="DCV3" s="582"/>
      <c r="DCW3" s="582"/>
      <c r="DCX3" s="582"/>
      <c r="DCY3" s="582"/>
      <c r="DCZ3" s="582"/>
      <c r="DDA3" s="582"/>
      <c r="DDB3" s="582"/>
      <c r="DDC3" s="582"/>
      <c r="DDD3" s="582"/>
      <c r="DDE3" s="582"/>
      <c r="DDF3" s="582"/>
      <c r="DDG3" s="582"/>
      <c r="DDH3" s="582"/>
      <c r="DDI3" s="582"/>
      <c r="DDJ3" s="582"/>
      <c r="DDK3" s="582"/>
      <c r="DDL3" s="582"/>
      <c r="DDM3" s="582"/>
      <c r="DDN3" s="582"/>
      <c r="DDO3" s="582"/>
      <c r="DDP3" s="582"/>
      <c r="DDQ3" s="582"/>
      <c r="DDR3" s="582"/>
      <c r="DDS3" s="582"/>
      <c r="DDT3" s="582"/>
      <c r="DDU3" s="582"/>
      <c r="DDV3" s="582"/>
      <c r="DDW3" s="582"/>
      <c r="DDX3" s="582"/>
      <c r="DDY3" s="582"/>
      <c r="DDZ3" s="582"/>
      <c r="DEA3" s="582"/>
      <c r="DEB3" s="582"/>
      <c r="DEC3" s="582"/>
      <c r="DED3" s="582"/>
      <c r="DEE3" s="582"/>
      <c r="DEF3" s="582"/>
      <c r="DEG3" s="582"/>
      <c r="DEH3" s="582"/>
      <c r="DEI3" s="582"/>
      <c r="DEJ3" s="582"/>
      <c r="DEK3" s="582"/>
      <c r="DEL3" s="582"/>
      <c r="DEM3" s="582"/>
      <c r="DEN3" s="582"/>
      <c r="DEO3" s="582"/>
      <c r="DEP3" s="582"/>
      <c r="DEQ3" s="582"/>
      <c r="DER3" s="582"/>
      <c r="DES3" s="582"/>
      <c r="DET3" s="582"/>
      <c r="DEU3" s="582"/>
      <c r="DEV3" s="582"/>
      <c r="DEW3" s="582"/>
      <c r="DEX3" s="582"/>
      <c r="DEY3" s="582"/>
      <c r="DEZ3" s="582"/>
      <c r="DFA3" s="582"/>
      <c r="DFB3" s="582"/>
      <c r="DFC3" s="582"/>
      <c r="DFD3" s="582"/>
      <c r="DFE3" s="582"/>
      <c r="DFF3" s="582"/>
      <c r="DFG3" s="582"/>
      <c r="DFH3" s="582"/>
      <c r="DFI3" s="582"/>
      <c r="DFJ3" s="582"/>
      <c r="DFK3" s="582"/>
      <c r="DFL3" s="582"/>
      <c r="DFM3" s="582"/>
      <c r="DFN3" s="582"/>
      <c r="DFO3" s="582"/>
      <c r="DFP3" s="582"/>
      <c r="DFQ3" s="582"/>
      <c r="DFR3" s="582"/>
      <c r="DFS3" s="582"/>
      <c r="DFT3" s="582"/>
      <c r="DFU3" s="582"/>
      <c r="DFV3" s="582"/>
      <c r="DFW3" s="582"/>
      <c r="DFX3" s="582"/>
      <c r="DFY3" s="582"/>
      <c r="DFZ3" s="582"/>
      <c r="DGA3" s="582"/>
      <c r="DGB3" s="582"/>
      <c r="DGC3" s="582"/>
      <c r="DGD3" s="582"/>
      <c r="DGE3" s="582"/>
      <c r="DGF3" s="582"/>
      <c r="DGG3" s="582"/>
      <c r="DGH3" s="582"/>
      <c r="DGI3" s="582"/>
      <c r="DGJ3" s="582"/>
      <c r="DGK3" s="582"/>
      <c r="DGL3" s="582"/>
      <c r="DGM3" s="582"/>
      <c r="DGN3" s="582"/>
      <c r="DGO3" s="582"/>
      <c r="DGP3" s="582"/>
      <c r="DGQ3" s="582"/>
      <c r="DGR3" s="582"/>
      <c r="DGS3" s="582"/>
      <c r="DGT3" s="582"/>
      <c r="DGU3" s="582"/>
      <c r="DGV3" s="582"/>
      <c r="DGW3" s="582"/>
      <c r="DGX3" s="582"/>
      <c r="DGY3" s="582"/>
      <c r="DGZ3" s="582"/>
      <c r="DHA3" s="582"/>
      <c r="DHB3" s="582"/>
      <c r="DHC3" s="582"/>
      <c r="DHD3" s="582"/>
      <c r="DHE3" s="582"/>
      <c r="DHF3" s="582"/>
      <c r="DHG3" s="582"/>
      <c r="DHH3" s="582"/>
      <c r="DHI3" s="582"/>
      <c r="DHJ3" s="582"/>
      <c r="DHK3" s="582"/>
      <c r="DHL3" s="582"/>
      <c r="DHM3" s="582"/>
      <c r="DHN3" s="582"/>
      <c r="DHO3" s="582"/>
      <c r="DHP3" s="582"/>
      <c r="DHQ3" s="582"/>
      <c r="DHR3" s="582"/>
      <c r="DHS3" s="582"/>
      <c r="DHT3" s="582"/>
      <c r="DHU3" s="582"/>
      <c r="DHV3" s="582"/>
      <c r="DHW3" s="582"/>
      <c r="DHX3" s="582"/>
      <c r="DHY3" s="582"/>
      <c r="DHZ3" s="582"/>
      <c r="DIA3" s="582"/>
      <c r="DIB3" s="582"/>
      <c r="DIC3" s="582"/>
      <c r="DID3" s="582"/>
      <c r="DIE3" s="582"/>
      <c r="DIF3" s="582"/>
      <c r="DIG3" s="582"/>
      <c r="DIH3" s="582"/>
      <c r="DII3" s="582"/>
      <c r="DIJ3" s="582"/>
      <c r="DIK3" s="582"/>
      <c r="DIL3" s="582"/>
      <c r="DIM3" s="582"/>
      <c r="DIN3" s="582"/>
      <c r="DIO3" s="582"/>
      <c r="DIP3" s="582"/>
      <c r="DIQ3" s="582"/>
      <c r="DIR3" s="582"/>
      <c r="DIS3" s="582"/>
      <c r="DIT3" s="582"/>
      <c r="DIU3" s="582"/>
      <c r="DIV3" s="582"/>
      <c r="DIW3" s="582"/>
      <c r="DIX3" s="582"/>
      <c r="DIY3" s="582"/>
      <c r="DIZ3" s="582"/>
      <c r="DJA3" s="582"/>
      <c r="DJB3" s="582"/>
      <c r="DJC3" s="582"/>
      <c r="DJD3" s="582"/>
      <c r="DJE3" s="582"/>
      <c r="DJF3" s="582"/>
      <c r="DJG3" s="582"/>
      <c r="DJH3" s="582"/>
      <c r="DJI3" s="582"/>
      <c r="DJJ3" s="582"/>
      <c r="DJK3" s="582"/>
      <c r="DJL3" s="582"/>
      <c r="DJM3" s="582"/>
      <c r="DJN3" s="582"/>
      <c r="DJO3" s="582"/>
      <c r="DJP3" s="582"/>
      <c r="DJQ3" s="582"/>
      <c r="DJR3" s="582"/>
      <c r="DJS3" s="582"/>
      <c r="DJT3" s="582"/>
      <c r="DJU3" s="582"/>
      <c r="DJV3" s="582"/>
      <c r="DJW3" s="582"/>
      <c r="DJX3" s="582"/>
      <c r="DJY3" s="582"/>
      <c r="DJZ3" s="582"/>
      <c r="DKA3" s="582"/>
      <c r="DKB3" s="582"/>
      <c r="DKC3" s="582"/>
      <c r="DKD3" s="582"/>
      <c r="DKE3" s="582"/>
      <c r="DKF3" s="582"/>
      <c r="DKG3" s="582"/>
      <c r="DKH3" s="582"/>
      <c r="DKI3" s="582"/>
      <c r="DKJ3" s="582"/>
      <c r="DKK3" s="582"/>
      <c r="DKL3" s="582"/>
      <c r="DKM3" s="582"/>
      <c r="DKN3" s="582"/>
      <c r="DKO3" s="582"/>
      <c r="DKP3" s="582"/>
      <c r="DKQ3" s="582"/>
      <c r="DKR3" s="582"/>
      <c r="DKS3" s="582"/>
      <c r="DKT3" s="582"/>
      <c r="DKU3" s="582"/>
      <c r="DKV3" s="582"/>
      <c r="DKW3" s="582"/>
      <c r="DKX3" s="582"/>
      <c r="DKY3" s="582"/>
      <c r="DKZ3" s="582"/>
      <c r="DLA3" s="582"/>
      <c r="DLB3" s="582"/>
      <c r="DLC3" s="582"/>
      <c r="DLD3" s="582"/>
      <c r="DLE3" s="582"/>
      <c r="DLF3" s="582"/>
      <c r="DLG3" s="582"/>
      <c r="DLH3" s="582"/>
      <c r="DLI3" s="582"/>
      <c r="DLJ3" s="582"/>
      <c r="DLK3" s="582"/>
      <c r="DLL3" s="582"/>
      <c r="DLM3" s="582"/>
      <c r="DLN3" s="582"/>
      <c r="DLO3" s="582"/>
      <c r="DLP3" s="582"/>
      <c r="DLQ3" s="582"/>
      <c r="DLR3" s="582"/>
      <c r="DLS3" s="582"/>
      <c r="DLT3" s="582"/>
      <c r="DLU3" s="582"/>
      <c r="DLV3" s="582"/>
      <c r="DLW3" s="582"/>
      <c r="DLX3" s="582"/>
      <c r="DLY3" s="582"/>
      <c r="DLZ3" s="582"/>
      <c r="DMA3" s="582"/>
      <c r="DMB3" s="582"/>
      <c r="DMC3" s="582"/>
      <c r="DMD3" s="582"/>
      <c r="DME3" s="582"/>
      <c r="DMF3" s="582"/>
      <c r="DMG3" s="582"/>
      <c r="DMH3" s="582"/>
      <c r="DMI3" s="582"/>
      <c r="DMJ3" s="582"/>
      <c r="DMK3" s="582"/>
      <c r="DML3" s="582"/>
      <c r="DMM3" s="582"/>
      <c r="DMN3" s="582"/>
      <c r="DMO3" s="582"/>
      <c r="DMP3" s="582"/>
      <c r="DMQ3" s="582"/>
      <c r="DMR3" s="582"/>
      <c r="DMS3" s="582"/>
      <c r="DMT3" s="582"/>
      <c r="DMU3" s="582"/>
      <c r="DMV3" s="582"/>
      <c r="DMW3" s="582"/>
      <c r="DMX3" s="582"/>
      <c r="DMY3" s="582"/>
      <c r="DMZ3" s="582"/>
      <c r="DNA3" s="582"/>
      <c r="DNB3" s="582"/>
      <c r="DNC3" s="582"/>
      <c r="DND3" s="582"/>
      <c r="DNE3" s="582"/>
      <c r="DNF3" s="582"/>
      <c r="DNG3" s="582"/>
      <c r="DNH3" s="582"/>
      <c r="DNI3" s="582"/>
      <c r="DNJ3" s="582"/>
      <c r="DNK3" s="582"/>
      <c r="DNL3" s="582"/>
      <c r="DNM3" s="582"/>
      <c r="DNN3" s="582"/>
      <c r="DNO3" s="582"/>
      <c r="DNP3" s="582"/>
      <c r="DNQ3" s="582"/>
      <c r="DNR3" s="582"/>
      <c r="DNS3" s="582"/>
      <c r="DNT3" s="582"/>
      <c r="DNU3" s="582"/>
      <c r="DNV3" s="582"/>
      <c r="DNW3" s="582"/>
      <c r="DNX3" s="582"/>
      <c r="DNY3" s="582"/>
      <c r="DNZ3" s="582"/>
      <c r="DOA3" s="582"/>
      <c r="DOB3" s="582"/>
      <c r="DOC3" s="582"/>
      <c r="DOD3" s="582"/>
      <c r="DOE3" s="582"/>
      <c r="DOF3" s="582"/>
      <c r="DOG3" s="582"/>
      <c r="DOH3" s="582"/>
      <c r="DOI3" s="582"/>
      <c r="DOJ3" s="582"/>
      <c r="DOK3" s="582"/>
      <c r="DOL3" s="582"/>
      <c r="DOM3" s="582"/>
      <c r="DON3" s="582"/>
      <c r="DOO3" s="582"/>
      <c r="DOP3" s="582"/>
      <c r="DOQ3" s="582"/>
      <c r="DOR3" s="582"/>
      <c r="DOS3" s="582"/>
      <c r="DOT3" s="582"/>
      <c r="DOU3" s="582"/>
      <c r="DOV3" s="582"/>
      <c r="DOW3" s="582"/>
      <c r="DOX3" s="582"/>
      <c r="DOY3" s="582"/>
      <c r="DOZ3" s="582"/>
      <c r="DPA3" s="582"/>
      <c r="DPB3" s="582"/>
      <c r="DPC3" s="582"/>
      <c r="DPD3" s="582"/>
      <c r="DPE3" s="582"/>
      <c r="DPF3" s="582"/>
      <c r="DPG3" s="582"/>
      <c r="DPH3" s="582"/>
      <c r="DPI3" s="582"/>
      <c r="DPJ3" s="582"/>
      <c r="DPK3" s="582"/>
      <c r="DPL3" s="582"/>
      <c r="DPM3" s="582"/>
      <c r="DPN3" s="582"/>
      <c r="DPO3" s="582"/>
      <c r="DPP3" s="582"/>
      <c r="DPQ3" s="582"/>
      <c r="DPR3" s="582"/>
      <c r="DPS3" s="582"/>
      <c r="DPT3" s="582"/>
      <c r="DPU3" s="582"/>
      <c r="DPV3" s="582"/>
      <c r="DPW3" s="582"/>
      <c r="DPX3" s="582"/>
      <c r="DPY3" s="582"/>
      <c r="DPZ3" s="582"/>
      <c r="DQA3" s="582"/>
      <c r="DQB3" s="582"/>
      <c r="DQC3" s="582"/>
      <c r="DQD3" s="582"/>
      <c r="DQE3" s="582"/>
      <c r="DQF3" s="582"/>
      <c r="DQG3" s="582"/>
      <c r="DQH3" s="582"/>
      <c r="DQI3" s="582"/>
      <c r="DQJ3" s="582"/>
      <c r="DQK3" s="582"/>
      <c r="DQL3" s="582"/>
      <c r="DQM3" s="582"/>
      <c r="DQN3" s="582"/>
      <c r="DQO3" s="582"/>
      <c r="DQP3" s="582"/>
      <c r="DQQ3" s="582"/>
      <c r="DQR3" s="582"/>
      <c r="DQS3" s="582"/>
      <c r="DQT3" s="582"/>
      <c r="DQU3" s="582"/>
      <c r="DQV3" s="582"/>
      <c r="DQW3" s="582"/>
      <c r="DQX3" s="582"/>
      <c r="DQY3" s="582"/>
      <c r="DQZ3" s="582"/>
      <c r="DRA3" s="582"/>
      <c r="DRB3" s="582"/>
      <c r="DRC3" s="582"/>
      <c r="DRD3" s="582"/>
      <c r="DRE3" s="582"/>
      <c r="DRF3" s="582"/>
      <c r="DRG3" s="582"/>
      <c r="DRH3" s="582"/>
      <c r="DRI3" s="582"/>
      <c r="DRJ3" s="582"/>
      <c r="DRK3" s="582"/>
      <c r="DRL3" s="582"/>
      <c r="DRM3" s="582"/>
      <c r="DRN3" s="582"/>
      <c r="DRO3" s="582"/>
      <c r="DRP3" s="582"/>
      <c r="DRQ3" s="582"/>
      <c r="DRR3" s="582"/>
      <c r="DRS3" s="582"/>
      <c r="DRT3" s="582"/>
      <c r="DRU3" s="582"/>
      <c r="DRV3" s="582"/>
      <c r="DRW3" s="582"/>
      <c r="DRX3" s="582"/>
      <c r="DRY3" s="582"/>
      <c r="DRZ3" s="582"/>
      <c r="DSA3" s="582"/>
      <c r="DSB3" s="582"/>
      <c r="DSC3" s="582"/>
      <c r="DSD3" s="582"/>
      <c r="DSE3" s="582"/>
      <c r="DSF3" s="582"/>
      <c r="DSG3" s="582"/>
      <c r="DSH3" s="582"/>
      <c r="DSI3" s="582"/>
      <c r="DSJ3" s="582"/>
      <c r="DSK3" s="582"/>
      <c r="DSL3" s="582"/>
      <c r="DSM3" s="582"/>
      <c r="DSN3" s="582"/>
      <c r="DSO3" s="582"/>
      <c r="DSP3" s="582"/>
      <c r="DSQ3" s="582"/>
      <c r="DSR3" s="582"/>
      <c r="DSS3" s="582"/>
      <c r="DST3" s="582"/>
      <c r="DSU3" s="582"/>
      <c r="DSV3" s="582"/>
      <c r="DSW3" s="582"/>
      <c r="DSX3" s="582"/>
      <c r="DSY3" s="582"/>
      <c r="DSZ3" s="582"/>
      <c r="DTA3" s="582"/>
      <c r="DTB3" s="582"/>
      <c r="DTC3" s="582"/>
      <c r="DTD3" s="582"/>
      <c r="DTE3" s="582"/>
      <c r="DTF3" s="582"/>
      <c r="DTG3" s="582"/>
      <c r="DTH3" s="582"/>
      <c r="DTI3" s="582"/>
      <c r="DTJ3" s="582"/>
      <c r="DTK3" s="582"/>
      <c r="DTL3" s="582"/>
      <c r="DTM3" s="582"/>
      <c r="DTN3" s="582"/>
      <c r="DTO3" s="582"/>
      <c r="DTP3" s="582"/>
      <c r="DTQ3" s="582"/>
      <c r="DTR3" s="582"/>
      <c r="DTS3" s="582"/>
      <c r="DTT3" s="582"/>
      <c r="DTU3" s="582"/>
      <c r="DTV3" s="582"/>
      <c r="DTW3" s="582"/>
      <c r="DTX3" s="582"/>
      <c r="DTY3" s="582"/>
      <c r="DTZ3" s="582"/>
      <c r="DUA3" s="582"/>
      <c r="DUB3" s="582"/>
      <c r="DUC3" s="582"/>
      <c r="DUD3" s="582"/>
      <c r="DUE3" s="582"/>
      <c r="DUF3" s="582"/>
      <c r="DUG3" s="582"/>
      <c r="DUH3" s="582"/>
      <c r="DUI3" s="582"/>
      <c r="DUJ3" s="582"/>
      <c r="DUK3" s="582"/>
      <c r="DUL3" s="582"/>
      <c r="DUM3" s="582"/>
      <c r="DUN3" s="582"/>
      <c r="DUO3" s="582"/>
      <c r="DUP3" s="582"/>
      <c r="DUQ3" s="582"/>
      <c r="DUR3" s="582"/>
      <c r="DUS3" s="582"/>
      <c r="DUT3" s="582"/>
      <c r="DUU3" s="582"/>
      <c r="DUV3" s="582"/>
      <c r="DUW3" s="582"/>
      <c r="DUX3" s="582"/>
      <c r="DUY3" s="582"/>
      <c r="DUZ3" s="582"/>
      <c r="DVA3" s="582"/>
      <c r="DVB3" s="582"/>
      <c r="DVC3" s="582"/>
      <c r="DVD3" s="582"/>
      <c r="DVE3" s="582"/>
      <c r="DVF3" s="582"/>
      <c r="DVG3" s="582"/>
      <c r="DVH3" s="582"/>
      <c r="DVI3" s="582"/>
      <c r="DVJ3" s="582"/>
      <c r="DVK3" s="582"/>
      <c r="DVL3" s="582"/>
      <c r="DVM3" s="582"/>
      <c r="DVN3" s="582"/>
      <c r="DVO3" s="582"/>
      <c r="DVP3" s="582"/>
      <c r="DVQ3" s="582"/>
      <c r="DVR3" s="582"/>
      <c r="DVS3" s="582"/>
      <c r="DVT3" s="582"/>
      <c r="DVU3" s="582"/>
      <c r="DVV3" s="582"/>
      <c r="DVW3" s="582"/>
      <c r="DVX3" s="582"/>
      <c r="DVY3" s="582"/>
      <c r="DVZ3" s="582"/>
      <c r="DWA3" s="582"/>
      <c r="DWB3" s="582"/>
      <c r="DWC3" s="582"/>
      <c r="DWD3" s="582"/>
      <c r="DWE3" s="582"/>
      <c r="DWF3" s="582"/>
      <c r="DWG3" s="582"/>
      <c r="DWH3" s="582"/>
      <c r="DWI3" s="582"/>
      <c r="DWJ3" s="582"/>
      <c r="DWK3" s="582"/>
      <c r="DWL3" s="582"/>
      <c r="DWM3" s="582"/>
      <c r="DWN3" s="582"/>
      <c r="DWO3" s="582"/>
      <c r="DWP3" s="582"/>
      <c r="DWQ3" s="582"/>
      <c r="DWR3" s="582"/>
      <c r="DWS3" s="582"/>
      <c r="DWT3" s="582"/>
      <c r="DWU3" s="582"/>
      <c r="DWV3" s="582"/>
      <c r="DWW3" s="582"/>
      <c r="DWX3" s="582"/>
      <c r="DWY3" s="582"/>
      <c r="DWZ3" s="582"/>
      <c r="DXA3" s="582"/>
      <c r="DXB3" s="582"/>
      <c r="DXC3" s="582"/>
      <c r="DXD3" s="582"/>
      <c r="DXE3" s="582"/>
      <c r="DXF3" s="582"/>
      <c r="DXG3" s="582"/>
      <c r="DXH3" s="582"/>
      <c r="DXI3" s="582"/>
      <c r="DXJ3" s="582"/>
      <c r="DXK3" s="582"/>
      <c r="DXL3" s="582"/>
      <c r="DXM3" s="582"/>
      <c r="DXN3" s="582"/>
      <c r="DXO3" s="582"/>
      <c r="DXP3" s="582"/>
      <c r="DXQ3" s="582"/>
      <c r="DXR3" s="582"/>
      <c r="DXS3" s="582"/>
      <c r="DXT3" s="582"/>
      <c r="DXU3" s="582"/>
      <c r="DXV3" s="582"/>
      <c r="DXW3" s="582"/>
      <c r="DXX3" s="582"/>
      <c r="DXY3" s="582"/>
      <c r="DXZ3" s="582"/>
      <c r="DYA3" s="582"/>
      <c r="DYB3" s="582"/>
      <c r="DYC3" s="582"/>
      <c r="DYD3" s="582"/>
      <c r="DYE3" s="582"/>
      <c r="DYF3" s="582"/>
      <c r="DYG3" s="582"/>
      <c r="DYH3" s="582"/>
      <c r="DYI3" s="582"/>
      <c r="DYJ3" s="582"/>
      <c r="DYK3" s="582"/>
      <c r="DYL3" s="582"/>
      <c r="DYM3" s="582"/>
      <c r="DYN3" s="582"/>
      <c r="DYO3" s="582"/>
      <c r="DYP3" s="582"/>
      <c r="DYQ3" s="582"/>
      <c r="DYR3" s="582"/>
      <c r="DYS3" s="582"/>
      <c r="DYT3" s="582"/>
      <c r="DYU3" s="582"/>
      <c r="DYV3" s="582"/>
      <c r="DYW3" s="582"/>
      <c r="DYX3" s="582"/>
      <c r="DYY3" s="582"/>
      <c r="DYZ3" s="582"/>
      <c r="DZA3" s="582"/>
      <c r="DZB3" s="582"/>
      <c r="DZC3" s="582"/>
      <c r="DZD3" s="582"/>
      <c r="DZE3" s="582"/>
      <c r="DZF3" s="582"/>
      <c r="DZG3" s="582"/>
      <c r="DZH3" s="582"/>
      <c r="DZI3" s="582"/>
      <c r="DZJ3" s="582"/>
      <c r="DZK3" s="582"/>
      <c r="DZL3" s="582"/>
      <c r="DZM3" s="582"/>
      <c r="DZN3" s="582"/>
      <c r="DZO3" s="582"/>
      <c r="DZP3" s="582"/>
      <c r="DZQ3" s="582"/>
      <c r="DZR3" s="582"/>
      <c r="DZS3" s="582"/>
      <c r="DZT3" s="582"/>
      <c r="DZU3" s="582"/>
      <c r="DZV3" s="582"/>
      <c r="DZW3" s="582"/>
      <c r="DZX3" s="582"/>
      <c r="DZY3" s="582"/>
      <c r="DZZ3" s="582"/>
      <c r="EAA3" s="582"/>
      <c r="EAB3" s="582"/>
      <c r="EAC3" s="582"/>
      <c r="EAD3" s="582"/>
      <c r="EAE3" s="582"/>
      <c r="EAF3" s="582"/>
      <c r="EAG3" s="582"/>
      <c r="EAH3" s="582"/>
      <c r="EAI3" s="582"/>
      <c r="EAJ3" s="582"/>
      <c r="EAK3" s="582"/>
      <c r="EAL3" s="582"/>
      <c r="EAM3" s="582"/>
      <c r="EAN3" s="582"/>
      <c r="EAO3" s="582"/>
      <c r="EAP3" s="582"/>
      <c r="EAQ3" s="582"/>
      <c r="EAR3" s="582"/>
      <c r="EAS3" s="582"/>
      <c r="EAT3" s="582"/>
      <c r="EAU3" s="582"/>
      <c r="EAV3" s="582"/>
      <c r="EAW3" s="582"/>
      <c r="EAX3" s="582"/>
      <c r="EAY3" s="582"/>
      <c r="EAZ3" s="582"/>
      <c r="EBA3" s="582"/>
      <c r="EBB3" s="582"/>
      <c r="EBC3" s="582"/>
      <c r="EBD3" s="582"/>
      <c r="EBE3" s="582"/>
      <c r="EBF3" s="582"/>
      <c r="EBG3" s="582"/>
      <c r="EBH3" s="582"/>
      <c r="EBI3" s="582"/>
      <c r="EBJ3" s="582"/>
      <c r="EBK3" s="582"/>
      <c r="EBL3" s="582"/>
      <c r="EBM3" s="582"/>
      <c r="EBN3" s="582"/>
      <c r="EBO3" s="582"/>
      <c r="EBP3" s="582"/>
      <c r="EBQ3" s="582"/>
      <c r="EBR3" s="582"/>
      <c r="EBS3" s="582"/>
      <c r="EBT3" s="582"/>
      <c r="EBU3" s="582"/>
      <c r="EBV3" s="582"/>
      <c r="EBW3" s="582"/>
      <c r="EBX3" s="582"/>
      <c r="EBY3" s="582"/>
      <c r="EBZ3" s="582"/>
      <c r="ECA3" s="582"/>
      <c r="ECB3" s="582"/>
      <c r="ECC3" s="582"/>
      <c r="ECD3" s="582"/>
      <c r="ECE3" s="582"/>
      <c r="ECF3" s="582"/>
      <c r="ECG3" s="582"/>
      <c r="ECH3" s="582"/>
      <c r="ECI3" s="582"/>
      <c r="ECJ3" s="582"/>
      <c r="ECK3" s="582"/>
      <c r="ECL3" s="582"/>
      <c r="ECM3" s="582"/>
      <c r="ECN3" s="582"/>
      <c r="ECO3" s="582"/>
      <c r="ECP3" s="582"/>
      <c r="ECQ3" s="582"/>
      <c r="ECR3" s="582"/>
      <c r="ECS3" s="582"/>
      <c r="ECT3" s="582"/>
      <c r="ECU3" s="582"/>
      <c r="ECV3" s="582"/>
      <c r="ECW3" s="582"/>
      <c r="ECX3" s="582"/>
      <c r="ECY3" s="582"/>
      <c r="ECZ3" s="582"/>
      <c r="EDA3" s="582"/>
      <c r="EDB3" s="582"/>
      <c r="EDC3" s="582"/>
      <c r="EDD3" s="582"/>
      <c r="EDE3" s="582"/>
      <c r="EDF3" s="582"/>
      <c r="EDG3" s="582"/>
      <c r="EDH3" s="582"/>
      <c r="EDI3" s="582"/>
      <c r="EDJ3" s="582"/>
      <c r="EDK3" s="582"/>
      <c r="EDL3" s="582"/>
      <c r="EDM3" s="582"/>
      <c r="EDN3" s="582"/>
      <c r="EDO3" s="582"/>
      <c r="EDP3" s="582"/>
      <c r="EDQ3" s="582"/>
      <c r="EDR3" s="582"/>
      <c r="EDS3" s="582"/>
      <c r="EDT3" s="582"/>
      <c r="EDU3" s="582"/>
      <c r="EDV3" s="582"/>
      <c r="EDW3" s="582"/>
      <c r="EDX3" s="582"/>
      <c r="EDY3" s="582"/>
      <c r="EDZ3" s="582"/>
      <c r="EEA3" s="582"/>
      <c r="EEB3" s="582"/>
      <c r="EEC3" s="582"/>
      <c r="EED3" s="582"/>
      <c r="EEE3" s="582"/>
      <c r="EEF3" s="582"/>
      <c r="EEG3" s="582"/>
      <c r="EEH3" s="582"/>
      <c r="EEI3" s="582"/>
      <c r="EEJ3" s="582"/>
      <c r="EEK3" s="582"/>
      <c r="EEL3" s="582"/>
      <c r="EEM3" s="582"/>
      <c r="EEN3" s="582"/>
      <c r="EEO3" s="582"/>
      <c r="EEP3" s="582"/>
      <c r="EEQ3" s="582"/>
      <c r="EER3" s="582"/>
      <c r="EES3" s="582"/>
      <c r="EET3" s="582"/>
      <c r="EEU3" s="582"/>
      <c r="EEV3" s="582"/>
      <c r="EEW3" s="582"/>
      <c r="EEX3" s="582"/>
      <c r="EEY3" s="582"/>
      <c r="EEZ3" s="582"/>
      <c r="EFA3" s="582"/>
      <c r="EFB3" s="582"/>
      <c r="EFC3" s="582"/>
      <c r="EFD3" s="582"/>
      <c r="EFE3" s="582"/>
      <c r="EFF3" s="582"/>
      <c r="EFG3" s="582"/>
      <c r="EFH3" s="582"/>
      <c r="EFI3" s="582"/>
      <c r="EFJ3" s="582"/>
      <c r="EFK3" s="582"/>
      <c r="EFL3" s="582"/>
      <c r="EFM3" s="582"/>
      <c r="EFN3" s="582"/>
      <c r="EFO3" s="582"/>
      <c r="EFP3" s="582"/>
      <c r="EFQ3" s="582"/>
      <c r="EFR3" s="582"/>
      <c r="EFS3" s="582"/>
      <c r="EFT3" s="582"/>
      <c r="EFU3" s="582"/>
      <c r="EFV3" s="582"/>
      <c r="EFW3" s="582"/>
      <c r="EFX3" s="582"/>
      <c r="EFY3" s="582"/>
      <c r="EFZ3" s="582"/>
      <c r="EGA3" s="582"/>
      <c r="EGB3" s="582"/>
      <c r="EGC3" s="582"/>
      <c r="EGD3" s="582"/>
      <c r="EGE3" s="582"/>
      <c r="EGF3" s="582"/>
      <c r="EGG3" s="582"/>
      <c r="EGH3" s="582"/>
      <c r="EGI3" s="582"/>
      <c r="EGJ3" s="582"/>
      <c r="EGK3" s="582"/>
      <c r="EGL3" s="582"/>
      <c r="EGM3" s="582"/>
      <c r="EGN3" s="582"/>
      <c r="EGO3" s="582"/>
      <c r="EGP3" s="582"/>
      <c r="EGQ3" s="582"/>
      <c r="EGR3" s="582"/>
      <c r="EGS3" s="582"/>
      <c r="EGT3" s="582"/>
      <c r="EGU3" s="582"/>
      <c r="EGV3" s="582"/>
      <c r="EGW3" s="582"/>
      <c r="EGX3" s="582"/>
      <c r="EGY3" s="582"/>
      <c r="EGZ3" s="582"/>
      <c r="EHA3" s="582"/>
      <c r="EHB3" s="582"/>
      <c r="EHC3" s="582"/>
      <c r="EHD3" s="582"/>
      <c r="EHE3" s="582"/>
      <c r="EHF3" s="582"/>
      <c r="EHG3" s="582"/>
      <c r="EHH3" s="582"/>
      <c r="EHI3" s="582"/>
      <c r="EHJ3" s="582"/>
      <c r="EHK3" s="582"/>
      <c r="EHL3" s="582"/>
      <c r="EHM3" s="582"/>
      <c r="EHN3" s="582"/>
      <c r="EHO3" s="582"/>
      <c r="EHP3" s="582"/>
      <c r="EHQ3" s="582"/>
      <c r="EHR3" s="582"/>
      <c r="EHS3" s="582"/>
      <c r="EHT3" s="582"/>
      <c r="EHU3" s="582"/>
      <c r="EHV3" s="582"/>
      <c r="EHW3" s="582"/>
      <c r="EHX3" s="582"/>
      <c r="EHY3" s="582"/>
      <c r="EHZ3" s="582"/>
      <c r="EIA3" s="582"/>
      <c r="EIB3" s="582"/>
      <c r="EIC3" s="582"/>
      <c r="EID3" s="582"/>
      <c r="EIE3" s="582"/>
      <c r="EIF3" s="582"/>
      <c r="EIG3" s="582"/>
      <c r="EIH3" s="582"/>
      <c r="EII3" s="582"/>
      <c r="EIJ3" s="582"/>
      <c r="EIK3" s="582"/>
      <c r="EIL3" s="582"/>
      <c r="EIM3" s="582"/>
      <c r="EIN3" s="582"/>
      <c r="EIO3" s="582"/>
      <c r="EIP3" s="582"/>
      <c r="EIQ3" s="582"/>
      <c r="EIR3" s="582"/>
      <c r="EIS3" s="582"/>
      <c r="EIT3" s="582"/>
      <c r="EIU3" s="582"/>
      <c r="EIV3" s="582"/>
      <c r="EIW3" s="582"/>
      <c r="EIX3" s="582"/>
      <c r="EIY3" s="582"/>
      <c r="EIZ3" s="582"/>
      <c r="EJA3" s="582"/>
      <c r="EJB3" s="582"/>
      <c r="EJC3" s="582"/>
      <c r="EJD3" s="582"/>
      <c r="EJE3" s="582"/>
      <c r="EJF3" s="582"/>
      <c r="EJG3" s="582"/>
      <c r="EJH3" s="582"/>
      <c r="EJI3" s="582"/>
      <c r="EJJ3" s="582"/>
      <c r="EJK3" s="582"/>
      <c r="EJL3" s="582"/>
      <c r="EJM3" s="582"/>
      <c r="EJN3" s="582"/>
      <c r="EJO3" s="582"/>
      <c r="EJP3" s="582"/>
      <c r="EJQ3" s="582"/>
      <c r="EJR3" s="582"/>
      <c r="EJS3" s="582"/>
      <c r="EJT3" s="582"/>
      <c r="EJU3" s="582"/>
      <c r="EJV3" s="582"/>
      <c r="EJW3" s="582"/>
      <c r="EJX3" s="582"/>
      <c r="EJY3" s="582"/>
      <c r="EJZ3" s="582"/>
      <c r="EKA3" s="582"/>
      <c r="EKB3" s="582"/>
      <c r="EKC3" s="582"/>
      <c r="EKD3" s="582"/>
      <c r="EKE3" s="582"/>
      <c r="EKF3" s="582"/>
      <c r="EKG3" s="582"/>
      <c r="EKH3" s="582"/>
      <c r="EKI3" s="582"/>
      <c r="EKJ3" s="582"/>
      <c r="EKK3" s="582"/>
      <c r="EKL3" s="582"/>
      <c r="EKM3" s="582"/>
      <c r="EKN3" s="582"/>
      <c r="EKO3" s="582"/>
      <c r="EKP3" s="582"/>
      <c r="EKQ3" s="582"/>
      <c r="EKR3" s="582"/>
      <c r="EKS3" s="582"/>
      <c r="EKT3" s="582"/>
      <c r="EKU3" s="582"/>
      <c r="EKV3" s="582"/>
      <c r="EKW3" s="582"/>
      <c r="EKX3" s="582"/>
      <c r="EKY3" s="582"/>
      <c r="EKZ3" s="582"/>
      <c r="ELA3" s="582"/>
      <c r="ELB3" s="582"/>
      <c r="ELC3" s="582"/>
      <c r="ELD3" s="582"/>
      <c r="ELE3" s="582"/>
      <c r="ELF3" s="582"/>
      <c r="ELG3" s="582"/>
      <c r="ELH3" s="582"/>
      <c r="ELI3" s="582"/>
      <c r="ELJ3" s="582"/>
      <c r="ELK3" s="582"/>
      <c r="ELL3" s="582"/>
      <c r="ELM3" s="582"/>
      <c r="ELN3" s="582"/>
      <c r="ELO3" s="582"/>
      <c r="ELP3" s="582"/>
      <c r="ELQ3" s="582"/>
      <c r="ELR3" s="582"/>
      <c r="ELS3" s="582"/>
      <c r="ELT3" s="582"/>
      <c r="ELU3" s="582"/>
      <c r="ELV3" s="582"/>
      <c r="ELW3" s="582"/>
      <c r="ELX3" s="582"/>
      <c r="ELY3" s="582"/>
      <c r="ELZ3" s="582"/>
      <c r="EMA3" s="582"/>
      <c r="EMB3" s="582"/>
      <c r="EMC3" s="582"/>
      <c r="EMD3" s="582"/>
      <c r="EME3" s="582"/>
      <c r="EMF3" s="582"/>
      <c r="EMG3" s="582"/>
      <c r="EMH3" s="582"/>
      <c r="EMI3" s="582"/>
      <c r="EMJ3" s="582"/>
      <c r="EMK3" s="582"/>
      <c r="EML3" s="582"/>
      <c r="EMM3" s="582"/>
      <c r="EMN3" s="582"/>
      <c r="EMO3" s="582"/>
      <c r="EMP3" s="582"/>
      <c r="EMQ3" s="582"/>
      <c r="EMR3" s="582"/>
      <c r="EMS3" s="582"/>
      <c r="EMT3" s="582"/>
      <c r="EMU3" s="582"/>
      <c r="EMV3" s="582"/>
      <c r="EMW3" s="582"/>
      <c r="EMX3" s="582"/>
      <c r="EMY3" s="582"/>
      <c r="EMZ3" s="582"/>
      <c r="ENA3" s="582"/>
      <c r="ENB3" s="582"/>
      <c r="ENC3" s="582"/>
      <c r="END3" s="582"/>
      <c r="ENE3" s="582"/>
      <c r="ENF3" s="582"/>
      <c r="ENG3" s="582"/>
      <c r="ENH3" s="582"/>
      <c r="ENI3" s="582"/>
      <c r="ENJ3" s="582"/>
      <c r="ENK3" s="582"/>
      <c r="ENL3" s="582"/>
      <c r="ENM3" s="582"/>
      <c r="ENN3" s="582"/>
      <c r="ENO3" s="582"/>
      <c r="ENP3" s="582"/>
      <c r="ENQ3" s="582"/>
      <c r="ENR3" s="582"/>
      <c r="ENS3" s="582"/>
      <c r="ENT3" s="582"/>
      <c r="ENU3" s="582"/>
      <c r="ENV3" s="582"/>
      <c r="ENW3" s="582"/>
      <c r="ENX3" s="582"/>
      <c r="ENY3" s="582"/>
      <c r="ENZ3" s="582"/>
      <c r="EOA3" s="582"/>
      <c r="EOB3" s="582"/>
      <c r="EOC3" s="582"/>
      <c r="EOD3" s="582"/>
      <c r="EOE3" s="582"/>
      <c r="EOF3" s="582"/>
      <c r="EOG3" s="582"/>
      <c r="EOH3" s="582"/>
      <c r="EOI3" s="582"/>
      <c r="EOJ3" s="582"/>
      <c r="EOK3" s="582"/>
      <c r="EOL3" s="582"/>
      <c r="EOM3" s="582"/>
      <c r="EON3" s="582"/>
      <c r="EOO3" s="582"/>
      <c r="EOP3" s="582"/>
      <c r="EOQ3" s="582"/>
      <c r="EOR3" s="582"/>
      <c r="EOS3" s="582"/>
      <c r="EOT3" s="582"/>
      <c r="EOU3" s="582"/>
      <c r="EOV3" s="582"/>
      <c r="EOW3" s="582"/>
      <c r="EOX3" s="582"/>
      <c r="EOY3" s="582"/>
      <c r="EOZ3" s="582"/>
      <c r="EPA3" s="582"/>
      <c r="EPB3" s="582"/>
      <c r="EPC3" s="582"/>
      <c r="EPD3" s="582"/>
      <c r="EPE3" s="582"/>
      <c r="EPF3" s="582"/>
      <c r="EPG3" s="582"/>
      <c r="EPH3" s="582"/>
      <c r="EPI3" s="582"/>
      <c r="EPJ3" s="582"/>
      <c r="EPK3" s="582"/>
      <c r="EPL3" s="582"/>
      <c r="EPM3" s="582"/>
      <c r="EPN3" s="582"/>
      <c r="EPO3" s="582"/>
      <c r="EPP3" s="582"/>
      <c r="EPQ3" s="582"/>
      <c r="EPR3" s="582"/>
      <c r="EPS3" s="582"/>
      <c r="EPT3" s="582"/>
      <c r="EPU3" s="582"/>
      <c r="EPV3" s="582"/>
      <c r="EPW3" s="582"/>
      <c r="EPX3" s="582"/>
      <c r="EPY3" s="582"/>
      <c r="EPZ3" s="582"/>
      <c r="EQA3" s="582"/>
      <c r="EQB3" s="582"/>
      <c r="EQC3" s="582"/>
      <c r="EQD3" s="582"/>
      <c r="EQE3" s="582"/>
      <c r="EQF3" s="582"/>
      <c r="EQG3" s="582"/>
      <c r="EQH3" s="582"/>
      <c r="EQI3" s="582"/>
      <c r="EQJ3" s="582"/>
      <c r="EQK3" s="582"/>
      <c r="EQL3" s="582"/>
      <c r="EQM3" s="582"/>
      <c r="EQN3" s="582"/>
      <c r="EQO3" s="582"/>
      <c r="EQP3" s="582"/>
      <c r="EQQ3" s="582"/>
      <c r="EQR3" s="582"/>
      <c r="EQS3" s="582"/>
      <c r="EQT3" s="582"/>
      <c r="EQU3" s="582"/>
      <c r="EQV3" s="582"/>
      <c r="EQW3" s="582"/>
      <c r="EQX3" s="582"/>
      <c r="EQY3" s="582"/>
      <c r="EQZ3" s="582"/>
      <c r="ERA3" s="582"/>
      <c r="ERB3" s="582"/>
      <c r="ERC3" s="582"/>
      <c r="ERD3" s="582"/>
      <c r="ERE3" s="582"/>
      <c r="ERF3" s="582"/>
      <c r="ERG3" s="582"/>
      <c r="ERH3" s="582"/>
      <c r="ERI3" s="582"/>
      <c r="ERJ3" s="582"/>
      <c r="ERK3" s="582"/>
      <c r="ERL3" s="582"/>
      <c r="ERM3" s="582"/>
      <c r="ERN3" s="582"/>
      <c r="ERO3" s="582"/>
      <c r="ERP3" s="582"/>
      <c r="ERQ3" s="582"/>
      <c r="ERR3" s="582"/>
      <c r="ERS3" s="582"/>
      <c r="ERT3" s="582"/>
      <c r="ERU3" s="582"/>
      <c r="ERV3" s="582"/>
      <c r="ERW3" s="582"/>
      <c r="ERX3" s="582"/>
      <c r="ERY3" s="582"/>
      <c r="ERZ3" s="582"/>
      <c r="ESA3" s="582"/>
      <c r="ESB3" s="582"/>
      <c r="ESC3" s="582"/>
      <c r="ESD3" s="582"/>
      <c r="ESE3" s="582"/>
      <c r="ESF3" s="582"/>
      <c r="ESG3" s="582"/>
      <c r="ESH3" s="582"/>
      <c r="ESI3" s="582"/>
      <c r="ESJ3" s="582"/>
      <c r="ESK3" s="582"/>
      <c r="ESL3" s="582"/>
      <c r="ESM3" s="582"/>
      <c r="ESN3" s="582"/>
      <c r="ESO3" s="582"/>
      <c r="ESP3" s="582"/>
      <c r="ESQ3" s="582"/>
      <c r="ESR3" s="582"/>
      <c r="ESS3" s="582"/>
      <c r="EST3" s="582"/>
      <c r="ESU3" s="582"/>
      <c r="ESV3" s="582"/>
      <c r="ESW3" s="582"/>
      <c r="ESX3" s="582"/>
      <c r="ESY3" s="582"/>
      <c r="ESZ3" s="582"/>
      <c r="ETA3" s="582"/>
      <c r="ETB3" s="582"/>
      <c r="ETC3" s="582"/>
      <c r="ETD3" s="582"/>
      <c r="ETE3" s="582"/>
      <c r="ETF3" s="582"/>
      <c r="ETG3" s="582"/>
      <c r="ETH3" s="582"/>
      <c r="ETI3" s="582"/>
      <c r="ETJ3" s="582"/>
      <c r="ETK3" s="582"/>
      <c r="ETL3" s="582"/>
      <c r="ETM3" s="582"/>
      <c r="ETN3" s="582"/>
      <c r="ETO3" s="582"/>
      <c r="ETP3" s="582"/>
      <c r="ETQ3" s="582"/>
      <c r="ETR3" s="582"/>
      <c r="ETS3" s="582"/>
      <c r="ETT3" s="582"/>
      <c r="ETU3" s="582"/>
      <c r="ETV3" s="582"/>
      <c r="ETW3" s="582"/>
      <c r="ETX3" s="582"/>
      <c r="ETY3" s="582"/>
      <c r="ETZ3" s="582"/>
      <c r="EUA3" s="582"/>
      <c r="EUB3" s="582"/>
      <c r="EUC3" s="582"/>
      <c r="EUD3" s="582"/>
      <c r="EUE3" s="582"/>
      <c r="EUF3" s="582"/>
      <c r="EUG3" s="582"/>
      <c r="EUH3" s="582"/>
      <c r="EUI3" s="582"/>
      <c r="EUJ3" s="582"/>
      <c r="EUK3" s="582"/>
      <c r="EUL3" s="582"/>
      <c r="EUM3" s="582"/>
      <c r="EUN3" s="582"/>
      <c r="EUO3" s="582"/>
      <c r="EUP3" s="582"/>
      <c r="EUQ3" s="582"/>
      <c r="EUR3" s="582"/>
      <c r="EUS3" s="582"/>
      <c r="EUT3" s="582"/>
      <c r="EUU3" s="582"/>
      <c r="EUV3" s="582"/>
      <c r="EUW3" s="582"/>
      <c r="EUX3" s="582"/>
      <c r="EUY3" s="582"/>
      <c r="EUZ3" s="582"/>
      <c r="EVA3" s="582"/>
      <c r="EVB3" s="582"/>
      <c r="EVC3" s="582"/>
      <c r="EVD3" s="582"/>
      <c r="EVE3" s="582"/>
      <c r="EVF3" s="582"/>
      <c r="EVG3" s="582"/>
      <c r="EVH3" s="582"/>
      <c r="EVI3" s="582"/>
      <c r="EVJ3" s="582"/>
      <c r="EVK3" s="582"/>
      <c r="EVL3" s="582"/>
      <c r="EVM3" s="582"/>
      <c r="EVN3" s="582"/>
      <c r="EVO3" s="582"/>
      <c r="EVP3" s="582"/>
      <c r="EVQ3" s="582"/>
      <c r="EVR3" s="582"/>
      <c r="EVS3" s="582"/>
      <c r="EVT3" s="582"/>
      <c r="EVU3" s="582"/>
      <c r="EVV3" s="582"/>
      <c r="EVW3" s="582"/>
      <c r="EVX3" s="582"/>
      <c r="EVY3" s="582"/>
      <c r="EVZ3" s="582"/>
      <c r="EWA3" s="582"/>
      <c r="EWB3" s="582"/>
      <c r="EWC3" s="582"/>
      <c r="EWD3" s="582"/>
      <c r="EWE3" s="582"/>
      <c r="EWF3" s="582"/>
      <c r="EWG3" s="582"/>
      <c r="EWH3" s="582"/>
      <c r="EWI3" s="582"/>
      <c r="EWJ3" s="582"/>
      <c r="EWK3" s="582"/>
      <c r="EWL3" s="582"/>
      <c r="EWM3" s="582"/>
      <c r="EWN3" s="582"/>
      <c r="EWO3" s="582"/>
      <c r="EWP3" s="582"/>
      <c r="EWQ3" s="582"/>
      <c r="EWR3" s="582"/>
      <c r="EWS3" s="582"/>
      <c r="EWT3" s="582"/>
      <c r="EWU3" s="582"/>
      <c r="EWV3" s="582"/>
      <c r="EWW3" s="582"/>
      <c r="EWX3" s="582"/>
      <c r="EWY3" s="582"/>
      <c r="EWZ3" s="582"/>
      <c r="EXA3" s="582"/>
      <c r="EXB3" s="582"/>
      <c r="EXC3" s="582"/>
      <c r="EXD3" s="582"/>
      <c r="EXE3" s="582"/>
      <c r="EXF3" s="582"/>
      <c r="EXG3" s="582"/>
      <c r="EXH3" s="582"/>
      <c r="EXI3" s="582"/>
      <c r="EXJ3" s="582"/>
      <c r="EXK3" s="582"/>
      <c r="EXL3" s="582"/>
      <c r="EXM3" s="582"/>
      <c r="EXN3" s="582"/>
      <c r="EXO3" s="582"/>
      <c r="EXP3" s="582"/>
      <c r="EXQ3" s="582"/>
      <c r="EXR3" s="582"/>
      <c r="EXS3" s="582"/>
      <c r="EXT3" s="582"/>
      <c r="EXU3" s="582"/>
      <c r="EXV3" s="582"/>
      <c r="EXW3" s="582"/>
      <c r="EXX3" s="582"/>
      <c r="EXY3" s="582"/>
      <c r="EXZ3" s="582"/>
      <c r="EYA3" s="582"/>
      <c r="EYB3" s="582"/>
      <c r="EYC3" s="582"/>
      <c r="EYD3" s="582"/>
      <c r="EYE3" s="582"/>
      <c r="EYF3" s="582"/>
      <c r="EYG3" s="582"/>
      <c r="EYH3" s="582"/>
      <c r="EYI3" s="582"/>
      <c r="EYJ3" s="582"/>
      <c r="EYK3" s="582"/>
      <c r="EYL3" s="582"/>
      <c r="EYM3" s="582"/>
      <c r="EYN3" s="582"/>
      <c r="EYO3" s="582"/>
      <c r="EYP3" s="582"/>
      <c r="EYQ3" s="582"/>
      <c r="EYR3" s="582"/>
      <c r="EYS3" s="582"/>
      <c r="EYT3" s="582"/>
      <c r="EYU3" s="582"/>
      <c r="EYV3" s="582"/>
      <c r="EYW3" s="582"/>
      <c r="EYX3" s="582"/>
      <c r="EYY3" s="582"/>
      <c r="EYZ3" s="582"/>
      <c r="EZA3" s="582"/>
      <c r="EZB3" s="582"/>
      <c r="EZC3" s="582"/>
      <c r="EZD3" s="582"/>
      <c r="EZE3" s="582"/>
      <c r="EZF3" s="582"/>
      <c r="EZG3" s="582"/>
      <c r="EZH3" s="582"/>
      <c r="EZI3" s="582"/>
      <c r="EZJ3" s="582"/>
      <c r="EZK3" s="582"/>
      <c r="EZL3" s="582"/>
      <c r="EZM3" s="582"/>
      <c r="EZN3" s="582"/>
      <c r="EZO3" s="582"/>
      <c r="EZP3" s="582"/>
      <c r="EZQ3" s="582"/>
      <c r="EZR3" s="582"/>
      <c r="EZS3" s="582"/>
      <c r="EZT3" s="582"/>
      <c r="EZU3" s="582"/>
      <c r="EZV3" s="582"/>
      <c r="EZW3" s="582"/>
      <c r="EZX3" s="582"/>
      <c r="EZY3" s="582"/>
      <c r="EZZ3" s="582"/>
      <c r="FAA3" s="582"/>
      <c r="FAB3" s="582"/>
      <c r="FAC3" s="582"/>
      <c r="FAD3" s="582"/>
      <c r="FAE3" s="582"/>
      <c r="FAF3" s="582"/>
      <c r="FAG3" s="582"/>
      <c r="FAH3" s="582"/>
      <c r="FAI3" s="582"/>
      <c r="FAJ3" s="582"/>
      <c r="FAK3" s="582"/>
      <c r="FAL3" s="582"/>
      <c r="FAM3" s="582"/>
      <c r="FAN3" s="582"/>
      <c r="FAO3" s="582"/>
      <c r="FAP3" s="582"/>
      <c r="FAQ3" s="582"/>
      <c r="FAR3" s="582"/>
      <c r="FAS3" s="582"/>
      <c r="FAT3" s="582"/>
      <c r="FAU3" s="582"/>
      <c r="FAV3" s="582"/>
      <c r="FAW3" s="582"/>
      <c r="FAX3" s="582"/>
      <c r="FAY3" s="582"/>
      <c r="FAZ3" s="582"/>
      <c r="FBA3" s="582"/>
      <c r="FBB3" s="582"/>
      <c r="FBC3" s="582"/>
      <c r="FBD3" s="582"/>
      <c r="FBE3" s="582"/>
      <c r="FBF3" s="582"/>
      <c r="FBG3" s="582"/>
      <c r="FBH3" s="582"/>
      <c r="FBI3" s="582"/>
      <c r="FBJ3" s="582"/>
      <c r="FBK3" s="582"/>
      <c r="FBL3" s="582"/>
      <c r="FBM3" s="582"/>
      <c r="FBN3" s="582"/>
      <c r="FBO3" s="582"/>
      <c r="FBP3" s="582"/>
      <c r="FBQ3" s="582"/>
      <c r="FBR3" s="582"/>
      <c r="FBS3" s="582"/>
      <c r="FBT3" s="582"/>
      <c r="FBU3" s="582"/>
      <c r="FBV3" s="582"/>
      <c r="FBW3" s="582"/>
      <c r="FBX3" s="582"/>
      <c r="FBY3" s="582"/>
      <c r="FBZ3" s="582"/>
      <c r="FCA3" s="582"/>
      <c r="FCB3" s="582"/>
      <c r="FCC3" s="582"/>
      <c r="FCD3" s="582"/>
      <c r="FCE3" s="582"/>
      <c r="FCF3" s="582"/>
      <c r="FCG3" s="582"/>
      <c r="FCH3" s="582"/>
      <c r="FCI3" s="582"/>
      <c r="FCJ3" s="582"/>
      <c r="FCK3" s="582"/>
      <c r="FCL3" s="582"/>
      <c r="FCM3" s="582"/>
      <c r="FCN3" s="582"/>
      <c r="FCO3" s="582"/>
      <c r="FCP3" s="582"/>
      <c r="FCQ3" s="582"/>
      <c r="FCR3" s="582"/>
      <c r="FCS3" s="582"/>
      <c r="FCT3" s="582"/>
      <c r="FCU3" s="582"/>
      <c r="FCV3" s="582"/>
      <c r="FCW3" s="582"/>
      <c r="FCX3" s="582"/>
      <c r="FCY3" s="582"/>
      <c r="FCZ3" s="582"/>
      <c r="FDA3" s="582"/>
      <c r="FDB3" s="582"/>
      <c r="FDC3" s="582"/>
      <c r="FDD3" s="582"/>
      <c r="FDE3" s="582"/>
      <c r="FDF3" s="582"/>
      <c r="FDG3" s="582"/>
      <c r="FDH3" s="582"/>
      <c r="FDI3" s="582"/>
      <c r="FDJ3" s="582"/>
      <c r="FDK3" s="582"/>
      <c r="FDL3" s="582"/>
      <c r="FDM3" s="582"/>
      <c r="FDN3" s="582"/>
      <c r="FDO3" s="582"/>
      <c r="FDP3" s="582"/>
      <c r="FDQ3" s="582"/>
      <c r="FDR3" s="582"/>
      <c r="FDS3" s="582"/>
      <c r="FDT3" s="582"/>
      <c r="FDU3" s="582"/>
      <c r="FDV3" s="582"/>
      <c r="FDW3" s="582"/>
      <c r="FDX3" s="582"/>
      <c r="FDY3" s="582"/>
      <c r="FDZ3" s="582"/>
      <c r="FEA3" s="582"/>
      <c r="FEB3" s="582"/>
      <c r="FEC3" s="582"/>
      <c r="FED3" s="582"/>
      <c r="FEE3" s="582"/>
      <c r="FEF3" s="582"/>
      <c r="FEG3" s="582"/>
      <c r="FEH3" s="582"/>
      <c r="FEI3" s="582"/>
      <c r="FEJ3" s="582"/>
      <c r="FEK3" s="582"/>
      <c r="FEL3" s="582"/>
      <c r="FEM3" s="582"/>
      <c r="FEN3" s="582"/>
      <c r="FEO3" s="582"/>
      <c r="FEP3" s="582"/>
      <c r="FEQ3" s="582"/>
      <c r="FER3" s="582"/>
      <c r="FES3" s="582"/>
      <c r="FET3" s="582"/>
      <c r="FEU3" s="582"/>
      <c r="FEV3" s="582"/>
      <c r="FEW3" s="582"/>
      <c r="FEX3" s="582"/>
      <c r="FEY3" s="582"/>
      <c r="FEZ3" s="582"/>
      <c r="FFA3" s="582"/>
      <c r="FFB3" s="582"/>
      <c r="FFC3" s="582"/>
      <c r="FFD3" s="582"/>
      <c r="FFE3" s="582"/>
      <c r="FFF3" s="582"/>
      <c r="FFG3" s="582"/>
      <c r="FFH3" s="582"/>
      <c r="FFI3" s="582"/>
      <c r="FFJ3" s="582"/>
      <c r="FFK3" s="582"/>
      <c r="FFL3" s="582"/>
      <c r="FFM3" s="582"/>
      <c r="FFN3" s="582"/>
      <c r="FFO3" s="582"/>
      <c r="FFP3" s="582"/>
      <c r="FFQ3" s="582"/>
      <c r="FFR3" s="582"/>
      <c r="FFS3" s="582"/>
      <c r="FFT3" s="582"/>
      <c r="FFU3" s="582"/>
      <c r="FFV3" s="582"/>
      <c r="FFW3" s="582"/>
      <c r="FFX3" s="582"/>
      <c r="FFY3" s="582"/>
      <c r="FFZ3" s="582"/>
      <c r="FGA3" s="582"/>
      <c r="FGB3" s="582"/>
      <c r="FGC3" s="582"/>
      <c r="FGD3" s="582"/>
      <c r="FGE3" s="582"/>
      <c r="FGF3" s="582"/>
      <c r="FGG3" s="582"/>
      <c r="FGH3" s="582"/>
      <c r="FGI3" s="582"/>
      <c r="FGJ3" s="582"/>
      <c r="FGK3" s="582"/>
      <c r="FGL3" s="582"/>
      <c r="FGM3" s="582"/>
      <c r="FGN3" s="582"/>
      <c r="FGO3" s="582"/>
      <c r="FGP3" s="582"/>
      <c r="FGQ3" s="582"/>
      <c r="FGR3" s="582"/>
      <c r="FGS3" s="582"/>
      <c r="FGT3" s="582"/>
      <c r="FGU3" s="582"/>
      <c r="FGV3" s="582"/>
      <c r="FGW3" s="582"/>
      <c r="FGX3" s="582"/>
      <c r="FGY3" s="582"/>
      <c r="FGZ3" s="582"/>
      <c r="FHA3" s="582"/>
      <c r="FHB3" s="582"/>
      <c r="FHC3" s="582"/>
      <c r="FHD3" s="582"/>
      <c r="FHE3" s="582"/>
      <c r="FHF3" s="582"/>
      <c r="FHG3" s="582"/>
      <c r="FHH3" s="582"/>
      <c r="FHI3" s="582"/>
      <c r="FHJ3" s="582"/>
      <c r="FHK3" s="582"/>
      <c r="FHL3" s="582"/>
      <c r="FHM3" s="582"/>
      <c r="FHN3" s="582"/>
      <c r="FHO3" s="582"/>
      <c r="FHP3" s="582"/>
      <c r="FHQ3" s="582"/>
      <c r="FHR3" s="582"/>
      <c r="FHS3" s="582"/>
      <c r="FHT3" s="582"/>
      <c r="FHU3" s="582"/>
      <c r="FHV3" s="582"/>
      <c r="FHW3" s="582"/>
      <c r="FHX3" s="582"/>
      <c r="FHY3" s="582"/>
      <c r="FHZ3" s="582"/>
      <c r="FIA3" s="582"/>
      <c r="FIB3" s="582"/>
      <c r="FIC3" s="582"/>
      <c r="FID3" s="582"/>
      <c r="FIE3" s="582"/>
      <c r="FIF3" s="582"/>
      <c r="FIG3" s="582"/>
      <c r="FIH3" s="582"/>
      <c r="FII3" s="582"/>
      <c r="FIJ3" s="582"/>
      <c r="FIK3" s="582"/>
      <c r="FIL3" s="582"/>
      <c r="FIM3" s="582"/>
      <c r="FIN3" s="582"/>
      <c r="FIO3" s="582"/>
      <c r="FIP3" s="582"/>
      <c r="FIQ3" s="582"/>
      <c r="FIR3" s="582"/>
      <c r="FIS3" s="582"/>
      <c r="FIT3" s="582"/>
      <c r="FIU3" s="582"/>
      <c r="FIV3" s="582"/>
      <c r="FIW3" s="582"/>
      <c r="FIX3" s="582"/>
      <c r="FIY3" s="582"/>
      <c r="FIZ3" s="582"/>
      <c r="FJA3" s="582"/>
      <c r="FJB3" s="582"/>
      <c r="FJC3" s="582"/>
      <c r="FJD3" s="582"/>
      <c r="FJE3" s="582"/>
      <c r="FJF3" s="582"/>
      <c r="FJG3" s="582"/>
      <c r="FJH3" s="582"/>
      <c r="FJI3" s="582"/>
      <c r="FJJ3" s="582"/>
      <c r="FJK3" s="582"/>
      <c r="FJL3" s="582"/>
      <c r="FJM3" s="582"/>
      <c r="FJN3" s="582"/>
      <c r="FJO3" s="582"/>
      <c r="FJP3" s="582"/>
      <c r="FJQ3" s="582"/>
      <c r="FJR3" s="582"/>
      <c r="FJS3" s="582"/>
      <c r="FJT3" s="582"/>
      <c r="FJU3" s="582"/>
      <c r="FJV3" s="582"/>
      <c r="FJW3" s="582"/>
      <c r="FJX3" s="582"/>
      <c r="FJY3" s="582"/>
      <c r="FJZ3" s="582"/>
      <c r="FKA3" s="582"/>
      <c r="FKB3" s="582"/>
      <c r="FKC3" s="582"/>
      <c r="FKD3" s="582"/>
      <c r="FKE3" s="582"/>
      <c r="FKF3" s="582"/>
      <c r="FKG3" s="582"/>
      <c r="FKH3" s="582"/>
      <c r="FKI3" s="582"/>
      <c r="FKJ3" s="582"/>
      <c r="FKK3" s="582"/>
      <c r="FKL3" s="582"/>
      <c r="FKM3" s="582"/>
      <c r="FKN3" s="582"/>
      <c r="FKO3" s="582"/>
      <c r="FKP3" s="582"/>
      <c r="FKQ3" s="582"/>
      <c r="FKR3" s="582"/>
      <c r="FKS3" s="582"/>
      <c r="FKT3" s="582"/>
      <c r="FKU3" s="582"/>
      <c r="FKV3" s="582"/>
      <c r="FKW3" s="582"/>
      <c r="FKX3" s="582"/>
      <c r="FKY3" s="582"/>
      <c r="FKZ3" s="582"/>
      <c r="FLA3" s="582"/>
      <c r="FLB3" s="582"/>
      <c r="FLC3" s="582"/>
      <c r="FLD3" s="582"/>
      <c r="FLE3" s="582"/>
      <c r="FLF3" s="582"/>
      <c r="FLG3" s="582"/>
      <c r="FLH3" s="582"/>
      <c r="FLI3" s="582"/>
      <c r="FLJ3" s="582"/>
      <c r="FLK3" s="582"/>
      <c r="FLL3" s="582"/>
      <c r="FLM3" s="582"/>
      <c r="FLN3" s="582"/>
      <c r="FLO3" s="582"/>
      <c r="FLP3" s="582"/>
      <c r="FLQ3" s="582"/>
      <c r="FLR3" s="582"/>
      <c r="FLS3" s="582"/>
      <c r="FLT3" s="582"/>
      <c r="FLU3" s="582"/>
      <c r="FLV3" s="582"/>
      <c r="FLW3" s="582"/>
      <c r="FLX3" s="582"/>
      <c r="FLY3" s="582"/>
      <c r="FLZ3" s="582"/>
      <c r="FMA3" s="582"/>
      <c r="FMB3" s="582"/>
      <c r="FMC3" s="582"/>
      <c r="FMD3" s="582"/>
      <c r="FME3" s="582"/>
      <c r="FMF3" s="582"/>
      <c r="FMG3" s="582"/>
      <c r="FMH3" s="582"/>
      <c r="FMI3" s="582"/>
      <c r="FMJ3" s="582"/>
      <c r="FMK3" s="582"/>
      <c r="FML3" s="582"/>
      <c r="FMM3" s="582"/>
      <c r="FMN3" s="582"/>
      <c r="FMO3" s="582"/>
      <c r="FMP3" s="582"/>
      <c r="FMQ3" s="582"/>
      <c r="FMR3" s="582"/>
      <c r="FMS3" s="582"/>
      <c r="FMT3" s="582"/>
      <c r="FMU3" s="582"/>
      <c r="FMV3" s="582"/>
      <c r="FMW3" s="582"/>
      <c r="FMX3" s="582"/>
      <c r="FMY3" s="582"/>
      <c r="FMZ3" s="582"/>
      <c r="FNA3" s="582"/>
      <c r="FNB3" s="582"/>
      <c r="FNC3" s="582"/>
      <c r="FND3" s="582"/>
      <c r="FNE3" s="582"/>
      <c r="FNF3" s="582"/>
      <c r="FNG3" s="582"/>
      <c r="FNH3" s="582"/>
      <c r="FNI3" s="582"/>
      <c r="FNJ3" s="582"/>
      <c r="FNK3" s="582"/>
      <c r="FNL3" s="582"/>
      <c r="FNM3" s="582"/>
      <c r="FNN3" s="582"/>
      <c r="FNO3" s="582"/>
      <c r="FNP3" s="582"/>
      <c r="FNQ3" s="582"/>
      <c r="FNR3" s="582"/>
      <c r="FNS3" s="582"/>
      <c r="FNT3" s="582"/>
      <c r="FNU3" s="582"/>
      <c r="FNV3" s="582"/>
      <c r="FNW3" s="582"/>
      <c r="FNX3" s="582"/>
      <c r="FNY3" s="582"/>
      <c r="FNZ3" s="582"/>
      <c r="FOA3" s="582"/>
      <c r="FOB3" s="582"/>
      <c r="FOC3" s="582"/>
      <c r="FOD3" s="582"/>
      <c r="FOE3" s="582"/>
      <c r="FOF3" s="582"/>
      <c r="FOG3" s="582"/>
      <c r="FOH3" s="582"/>
      <c r="FOI3" s="582"/>
      <c r="FOJ3" s="582"/>
      <c r="FOK3" s="582"/>
      <c r="FOL3" s="582"/>
      <c r="FOM3" s="582"/>
      <c r="FON3" s="582"/>
      <c r="FOO3" s="582"/>
      <c r="FOP3" s="582"/>
      <c r="FOQ3" s="582"/>
      <c r="FOR3" s="582"/>
      <c r="FOS3" s="582"/>
      <c r="FOT3" s="582"/>
      <c r="FOU3" s="582"/>
      <c r="FOV3" s="582"/>
      <c r="FOW3" s="582"/>
      <c r="FOX3" s="582"/>
      <c r="FOY3" s="582"/>
      <c r="FOZ3" s="582"/>
      <c r="FPA3" s="582"/>
      <c r="FPB3" s="582"/>
      <c r="FPC3" s="582"/>
      <c r="FPD3" s="582"/>
      <c r="FPE3" s="582"/>
      <c r="FPF3" s="582"/>
      <c r="FPG3" s="582"/>
      <c r="FPH3" s="582"/>
      <c r="FPI3" s="582"/>
      <c r="FPJ3" s="582"/>
      <c r="FPK3" s="582"/>
      <c r="FPL3" s="582"/>
      <c r="FPM3" s="582"/>
      <c r="FPN3" s="582"/>
      <c r="FPO3" s="582"/>
      <c r="FPP3" s="582"/>
      <c r="FPQ3" s="582"/>
      <c r="FPR3" s="582"/>
      <c r="FPS3" s="582"/>
      <c r="FPT3" s="582"/>
      <c r="FPU3" s="582"/>
      <c r="FPV3" s="582"/>
      <c r="FPW3" s="582"/>
      <c r="FPX3" s="582"/>
      <c r="FPY3" s="582"/>
      <c r="FPZ3" s="582"/>
      <c r="FQA3" s="582"/>
      <c r="FQB3" s="582"/>
      <c r="FQC3" s="582"/>
      <c r="FQD3" s="582"/>
      <c r="FQE3" s="582"/>
      <c r="FQF3" s="582"/>
      <c r="FQG3" s="582"/>
      <c r="FQH3" s="582"/>
      <c r="FQI3" s="582"/>
      <c r="FQJ3" s="582"/>
      <c r="FQK3" s="582"/>
      <c r="FQL3" s="582"/>
      <c r="FQM3" s="582"/>
      <c r="FQN3" s="582"/>
      <c r="FQO3" s="582"/>
      <c r="FQP3" s="582"/>
      <c r="FQQ3" s="582"/>
      <c r="FQR3" s="582"/>
      <c r="FQS3" s="582"/>
      <c r="FQT3" s="582"/>
      <c r="FQU3" s="582"/>
      <c r="FQV3" s="582"/>
      <c r="FQW3" s="582"/>
      <c r="FQX3" s="582"/>
      <c r="FQY3" s="582"/>
      <c r="FQZ3" s="582"/>
      <c r="FRA3" s="582"/>
      <c r="FRB3" s="582"/>
      <c r="FRC3" s="582"/>
      <c r="FRD3" s="582"/>
      <c r="FRE3" s="582"/>
      <c r="FRF3" s="582"/>
      <c r="FRG3" s="582"/>
      <c r="FRH3" s="582"/>
      <c r="FRI3" s="582"/>
      <c r="FRJ3" s="582"/>
      <c r="FRK3" s="582"/>
      <c r="FRL3" s="582"/>
      <c r="FRM3" s="582"/>
      <c r="FRN3" s="582"/>
      <c r="FRO3" s="582"/>
      <c r="FRP3" s="582"/>
      <c r="FRQ3" s="582"/>
      <c r="FRR3" s="582"/>
      <c r="FRS3" s="582"/>
      <c r="FRT3" s="582"/>
      <c r="FRU3" s="582"/>
      <c r="FRV3" s="582"/>
      <c r="FRW3" s="582"/>
      <c r="FRX3" s="582"/>
      <c r="FRY3" s="582"/>
      <c r="FRZ3" s="582"/>
      <c r="FSA3" s="582"/>
      <c r="FSB3" s="582"/>
      <c r="FSC3" s="582"/>
      <c r="FSD3" s="582"/>
      <c r="FSE3" s="582"/>
      <c r="FSF3" s="582"/>
      <c r="FSG3" s="582"/>
      <c r="FSH3" s="582"/>
      <c r="FSI3" s="582"/>
      <c r="FSJ3" s="582"/>
      <c r="FSK3" s="582"/>
      <c r="FSL3" s="582"/>
      <c r="FSM3" s="582"/>
      <c r="FSN3" s="582"/>
      <c r="FSO3" s="582"/>
      <c r="FSP3" s="582"/>
      <c r="FSQ3" s="582"/>
      <c r="FSR3" s="582"/>
      <c r="FSS3" s="582"/>
      <c r="FST3" s="582"/>
      <c r="FSU3" s="582"/>
      <c r="FSV3" s="582"/>
      <c r="FSW3" s="582"/>
      <c r="FSX3" s="582"/>
      <c r="FSY3" s="582"/>
      <c r="FSZ3" s="582"/>
      <c r="FTA3" s="582"/>
      <c r="FTB3" s="582"/>
      <c r="FTC3" s="582"/>
      <c r="FTD3" s="582"/>
      <c r="FTE3" s="582"/>
      <c r="FTF3" s="582"/>
      <c r="FTG3" s="582"/>
      <c r="FTH3" s="582"/>
      <c r="FTI3" s="582"/>
      <c r="FTJ3" s="582"/>
      <c r="FTK3" s="582"/>
      <c r="FTL3" s="582"/>
      <c r="FTM3" s="582"/>
      <c r="FTN3" s="582"/>
      <c r="FTO3" s="582"/>
      <c r="FTP3" s="582"/>
      <c r="FTQ3" s="582"/>
      <c r="FTR3" s="582"/>
      <c r="FTS3" s="582"/>
      <c r="FTT3" s="582"/>
      <c r="FTU3" s="582"/>
      <c r="FTV3" s="582"/>
      <c r="FTW3" s="582"/>
      <c r="FTX3" s="582"/>
      <c r="FTY3" s="582"/>
      <c r="FTZ3" s="582"/>
      <c r="FUA3" s="582"/>
      <c r="FUB3" s="582"/>
      <c r="FUC3" s="582"/>
      <c r="FUD3" s="582"/>
      <c r="FUE3" s="582"/>
      <c r="FUF3" s="582"/>
      <c r="FUG3" s="582"/>
      <c r="FUH3" s="582"/>
      <c r="FUI3" s="582"/>
      <c r="FUJ3" s="582"/>
      <c r="FUK3" s="582"/>
      <c r="FUL3" s="582"/>
      <c r="FUM3" s="582"/>
      <c r="FUN3" s="582"/>
      <c r="FUO3" s="582"/>
      <c r="FUP3" s="582"/>
      <c r="FUQ3" s="582"/>
      <c r="FUR3" s="582"/>
      <c r="FUS3" s="582"/>
      <c r="FUT3" s="582"/>
      <c r="FUU3" s="582"/>
      <c r="FUV3" s="582"/>
      <c r="FUW3" s="582"/>
      <c r="FUX3" s="582"/>
      <c r="FUY3" s="582"/>
      <c r="FUZ3" s="582"/>
      <c r="FVA3" s="582"/>
      <c r="FVB3" s="582"/>
      <c r="FVC3" s="582"/>
      <c r="FVD3" s="582"/>
      <c r="FVE3" s="582"/>
      <c r="FVF3" s="582"/>
      <c r="FVG3" s="582"/>
      <c r="FVH3" s="582"/>
      <c r="FVI3" s="582"/>
      <c r="FVJ3" s="582"/>
      <c r="FVK3" s="582"/>
      <c r="FVL3" s="582"/>
      <c r="FVM3" s="582"/>
      <c r="FVN3" s="582"/>
      <c r="FVO3" s="582"/>
      <c r="FVP3" s="582"/>
      <c r="FVQ3" s="582"/>
      <c r="FVR3" s="582"/>
      <c r="FVS3" s="582"/>
      <c r="FVT3" s="582"/>
      <c r="FVU3" s="582"/>
      <c r="FVV3" s="582"/>
      <c r="FVW3" s="582"/>
      <c r="FVX3" s="582"/>
      <c r="FVY3" s="582"/>
      <c r="FVZ3" s="582"/>
      <c r="FWA3" s="582"/>
      <c r="FWB3" s="582"/>
      <c r="FWC3" s="582"/>
      <c r="FWD3" s="582"/>
      <c r="FWE3" s="582"/>
      <c r="FWF3" s="582"/>
      <c r="FWG3" s="582"/>
      <c r="FWH3" s="582"/>
      <c r="FWI3" s="582"/>
      <c r="FWJ3" s="582"/>
      <c r="FWK3" s="582"/>
      <c r="FWL3" s="582"/>
      <c r="FWM3" s="582"/>
      <c r="FWN3" s="582"/>
      <c r="FWO3" s="582"/>
      <c r="FWP3" s="582"/>
      <c r="FWQ3" s="582"/>
      <c r="FWR3" s="582"/>
      <c r="FWS3" s="582"/>
      <c r="FWT3" s="582"/>
      <c r="FWU3" s="582"/>
      <c r="FWV3" s="582"/>
      <c r="FWW3" s="582"/>
      <c r="FWX3" s="582"/>
      <c r="FWY3" s="582"/>
      <c r="FWZ3" s="582"/>
      <c r="FXA3" s="582"/>
      <c r="FXB3" s="582"/>
      <c r="FXC3" s="582"/>
      <c r="FXD3" s="582"/>
      <c r="FXE3" s="582"/>
      <c r="FXF3" s="582"/>
      <c r="FXG3" s="582"/>
      <c r="FXH3" s="582"/>
      <c r="FXI3" s="582"/>
      <c r="FXJ3" s="582"/>
      <c r="FXK3" s="582"/>
      <c r="FXL3" s="582"/>
      <c r="FXM3" s="582"/>
      <c r="FXN3" s="582"/>
      <c r="FXO3" s="582"/>
      <c r="FXP3" s="582"/>
      <c r="FXQ3" s="582"/>
      <c r="FXR3" s="582"/>
      <c r="FXS3" s="582"/>
      <c r="FXT3" s="582"/>
      <c r="FXU3" s="582"/>
      <c r="FXV3" s="582"/>
      <c r="FXW3" s="582"/>
      <c r="FXX3" s="582"/>
      <c r="FXY3" s="582"/>
      <c r="FXZ3" s="582"/>
      <c r="FYA3" s="582"/>
      <c r="FYB3" s="582"/>
      <c r="FYC3" s="582"/>
      <c r="FYD3" s="582"/>
      <c r="FYE3" s="582"/>
      <c r="FYF3" s="582"/>
      <c r="FYG3" s="582"/>
      <c r="FYH3" s="582"/>
      <c r="FYI3" s="582"/>
      <c r="FYJ3" s="582"/>
      <c r="FYK3" s="582"/>
      <c r="FYL3" s="582"/>
      <c r="FYM3" s="582"/>
      <c r="FYN3" s="582"/>
      <c r="FYO3" s="582"/>
      <c r="FYP3" s="582"/>
      <c r="FYQ3" s="582"/>
      <c r="FYR3" s="582"/>
      <c r="FYS3" s="582"/>
      <c r="FYT3" s="582"/>
      <c r="FYU3" s="582"/>
      <c r="FYV3" s="582"/>
      <c r="FYW3" s="582"/>
      <c r="FYX3" s="582"/>
      <c r="FYY3" s="582"/>
      <c r="FYZ3" s="582"/>
      <c r="FZA3" s="582"/>
      <c r="FZB3" s="582"/>
      <c r="FZC3" s="582"/>
      <c r="FZD3" s="582"/>
      <c r="FZE3" s="582"/>
      <c r="FZF3" s="582"/>
      <c r="FZG3" s="582"/>
      <c r="FZH3" s="582"/>
      <c r="FZI3" s="582"/>
      <c r="FZJ3" s="582"/>
      <c r="FZK3" s="582"/>
      <c r="FZL3" s="582"/>
      <c r="FZM3" s="582"/>
      <c r="FZN3" s="582"/>
      <c r="FZO3" s="582"/>
      <c r="FZP3" s="582"/>
      <c r="FZQ3" s="582"/>
      <c r="FZR3" s="582"/>
      <c r="FZS3" s="582"/>
      <c r="FZT3" s="582"/>
      <c r="FZU3" s="582"/>
      <c r="FZV3" s="582"/>
      <c r="FZW3" s="582"/>
      <c r="FZX3" s="582"/>
      <c r="FZY3" s="582"/>
      <c r="FZZ3" s="582"/>
      <c r="GAA3" s="582"/>
      <c r="GAB3" s="582"/>
      <c r="GAC3" s="582"/>
      <c r="GAD3" s="582"/>
      <c r="GAE3" s="582"/>
      <c r="GAF3" s="582"/>
      <c r="GAG3" s="582"/>
      <c r="GAH3" s="582"/>
      <c r="GAI3" s="582"/>
      <c r="GAJ3" s="582"/>
      <c r="GAK3" s="582"/>
      <c r="GAL3" s="582"/>
      <c r="GAM3" s="582"/>
      <c r="GAN3" s="582"/>
      <c r="GAO3" s="582"/>
      <c r="GAP3" s="582"/>
      <c r="GAQ3" s="582"/>
      <c r="GAR3" s="582"/>
      <c r="GAS3" s="582"/>
      <c r="GAT3" s="582"/>
      <c r="GAU3" s="582"/>
      <c r="GAV3" s="582"/>
      <c r="GAW3" s="582"/>
      <c r="GAX3" s="582"/>
      <c r="GAY3" s="582"/>
      <c r="GAZ3" s="582"/>
      <c r="GBA3" s="582"/>
      <c r="GBB3" s="582"/>
      <c r="GBC3" s="582"/>
      <c r="GBD3" s="582"/>
      <c r="GBE3" s="582"/>
      <c r="GBF3" s="582"/>
      <c r="GBG3" s="582"/>
      <c r="GBH3" s="582"/>
      <c r="GBI3" s="582"/>
      <c r="GBJ3" s="582"/>
      <c r="GBK3" s="582"/>
      <c r="GBL3" s="582"/>
      <c r="GBM3" s="582"/>
      <c r="GBN3" s="582"/>
      <c r="GBO3" s="582"/>
      <c r="GBP3" s="582"/>
      <c r="GBQ3" s="582"/>
      <c r="GBR3" s="582"/>
      <c r="GBS3" s="582"/>
      <c r="GBT3" s="582"/>
      <c r="GBU3" s="582"/>
      <c r="GBV3" s="582"/>
      <c r="GBW3" s="582"/>
      <c r="GBX3" s="582"/>
      <c r="GBY3" s="582"/>
      <c r="GBZ3" s="582"/>
      <c r="GCA3" s="582"/>
      <c r="GCB3" s="582"/>
      <c r="GCC3" s="582"/>
      <c r="GCD3" s="582"/>
      <c r="GCE3" s="582"/>
      <c r="GCF3" s="582"/>
      <c r="GCG3" s="582"/>
      <c r="GCH3" s="582"/>
      <c r="GCI3" s="582"/>
      <c r="GCJ3" s="582"/>
      <c r="GCK3" s="582"/>
      <c r="GCL3" s="582"/>
      <c r="GCM3" s="582"/>
      <c r="GCN3" s="582"/>
      <c r="GCO3" s="582"/>
      <c r="GCP3" s="582"/>
      <c r="GCQ3" s="582"/>
      <c r="GCR3" s="582"/>
      <c r="GCS3" s="582"/>
      <c r="GCT3" s="582"/>
      <c r="GCU3" s="582"/>
      <c r="GCV3" s="582"/>
      <c r="GCW3" s="582"/>
      <c r="GCX3" s="582"/>
      <c r="GCY3" s="582"/>
      <c r="GCZ3" s="582"/>
      <c r="GDA3" s="582"/>
      <c r="GDB3" s="582"/>
      <c r="GDC3" s="582"/>
      <c r="GDD3" s="582"/>
      <c r="GDE3" s="582"/>
      <c r="GDF3" s="582"/>
      <c r="GDG3" s="582"/>
      <c r="GDH3" s="582"/>
      <c r="GDI3" s="582"/>
      <c r="GDJ3" s="582"/>
      <c r="GDK3" s="582"/>
      <c r="GDL3" s="582"/>
      <c r="GDM3" s="582"/>
      <c r="GDN3" s="582"/>
      <c r="GDO3" s="582"/>
      <c r="GDP3" s="582"/>
      <c r="GDQ3" s="582"/>
      <c r="GDR3" s="582"/>
      <c r="GDS3" s="582"/>
      <c r="GDT3" s="582"/>
      <c r="GDU3" s="582"/>
      <c r="GDV3" s="582"/>
      <c r="GDW3" s="582"/>
      <c r="GDX3" s="582"/>
      <c r="GDY3" s="582"/>
      <c r="GDZ3" s="582"/>
      <c r="GEA3" s="582"/>
      <c r="GEB3" s="582"/>
      <c r="GEC3" s="582"/>
      <c r="GED3" s="582"/>
      <c r="GEE3" s="582"/>
      <c r="GEF3" s="582"/>
      <c r="GEG3" s="582"/>
      <c r="GEH3" s="582"/>
      <c r="GEI3" s="582"/>
      <c r="GEJ3" s="582"/>
      <c r="GEK3" s="582"/>
      <c r="GEL3" s="582"/>
      <c r="GEM3" s="582"/>
      <c r="GEN3" s="582"/>
      <c r="GEO3" s="582"/>
      <c r="GEP3" s="582"/>
      <c r="GEQ3" s="582"/>
      <c r="GER3" s="582"/>
      <c r="GES3" s="582"/>
      <c r="GET3" s="582"/>
      <c r="GEU3" s="582"/>
      <c r="GEV3" s="582"/>
      <c r="GEW3" s="582"/>
      <c r="GEX3" s="582"/>
      <c r="GEY3" s="582"/>
      <c r="GEZ3" s="582"/>
      <c r="GFA3" s="582"/>
      <c r="GFB3" s="582"/>
      <c r="GFC3" s="582"/>
      <c r="GFD3" s="582"/>
      <c r="GFE3" s="582"/>
      <c r="GFF3" s="582"/>
      <c r="GFG3" s="582"/>
      <c r="GFH3" s="582"/>
      <c r="GFI3" s="582"/>
      <c r="GFJ3" s="582"/>
      <c r="GFK3" s="582"/>
      <c r="GFL3" s="582"/>
      <c r="GFM3" s="582"/>
      <c r="GFN3" s="582"/>
      <c r="GFO3" s="582"/>
      <c r="GFP3" s="582"/>
      <c r="GFQ3" s="582"/>
      <c r="GFR3" s="582"/>
      <c r="GFS3" s="582"/>
      <c r="GFT3" s="582"/>
      <c r="GFU3" s="582"/>
      <c r="GFV3" s="582"/>
      <c r="GFW3" s="582"/>
      <c r="GFX3" s="582"/>
      <c r="GFY3" s="582"/>
      <c r="GFZ3" s="582"/>
      <c r="GGA3" s="582"/>
      <c r="GGB3" s="582"/>
      <c r="GGC3" s="582"/>
      <c r="GGD3" s="582"/>
      <c r="GGE3" s="582"/>
      <c r="GGF3" s="582"/>
      <c r="GGG3" s="582"/>
      <c r="GGH3" s="582"/>
      <c r="GGI3" s="582"/>
      <c r="GGJ3" s="582"/>
      <c r="GGK3" s="582"/>
      <c r="GGL3" s="582"/>
      <c r="GGM3" s="582"/>
      <c r="GGN3" s="582"/>
      <c r="GGO3" s="582"/>
      <c r="GGP3" s="582"/>
      <c r="GGQ3" s="582"/>
      <c r="GGR3" s="582"/>
      <c r="GGS3" s="582"/>
      <c r="GGT3" s="582"/>
      <c r="GGU3" s="582"/>
      <c r="GGV3" s="582"/>
      <c r="GGW3" s="582"/>
      <c r="GGX3" s="582"/>
      <c r="GGY3" s="582"/>
      <c r="GGZ3" s="582"/>
      <c r="GHA3" s="582"/>
      <c r="GHB3" s="582"/>
      <c r="GHC3" s="582"/>
      <c r="GHD3" s="582"/>
      <c r="GHE3" s="582"/>
      <c r="GHF3" s="582"/>
      <c r="GHG3" s="582"/>
      <c r="GHH3" s="582"/>
      <c r="GHI3" s="582"/>
      <c r="GHJ3" s="582"/>
      <c r="GHK3" s="582"/>
      <c r="GHL3" s="582"/>
      <c r="GHM3" s="582"/>
      <c r="GHN3" s="582"/>
      <c r="GHO3" s="582"/>
      <c r="GHP3" s="582"/>
      <c r="GHQ3" s="582"/>
      <c r="GHR3" s="582"/>
      <c r="GHS3" s="582"/>
      <c r="GHT3" s="582"/>
      <c r="GHU3" s="582"/>
      <c r="GHV3" s="582"/>
      <c r="GHW3" s="582"/>
      <c r="GHX3" s="582"/>
      <c r="GHY3" s="582"/>
      <c r="GHZ3" s="582"/>
      <c r="GIA3" s="582"/>
      <c r="GIB3" s="582"/>
      <c r="GIC3" s="582"/>
      <c r="GID3" s="582"/>
      <c r="GIE3" s="582"/>
      <c r="GIF3" s="582"/>
      <c r="GIG3" s="582"/>
      <c r="GIH3" s="582"/>
      <c r="GII3" s="582"/>
      <c r="GIJ3" s="582"/>
      <c r="GIK3" s="582"/>
      <c r="GIL3" s="582"/>
      <c r="GIM3" s="582"/>
      <c r="GIN3" s="582"/>
      <c r="GIO3" s="582"/>
      <c r="GIP3" s="582"/>
      <c r="GIQ3" s="582"/>
      <c r="GIR3" s="582"/>
      <c r="GIS3" s="582"/>
      <c r="GIT3" s="582"/>
      <c r="GIU3" s="582"/>
      <c r="GIV3" s="582"/>
      <c r="GIW3" s="582"/>
      <c r="GIX3" s="582"/>
      <c r="GIY3" s="582"/>
      <c r="GIZ3" s="582"/>
      <c r="GJA3" s="582"/>
      <c r="GJB3" s="582"/>
      <c r="GJC3" s="582"/>
      <c r="GJD3" s="582"/>
      <c r="GJE3" s="582"/>
      <c r="GJF3" s="582"/>
      <c r="GJG3" s="582"/>
      <c r="GJH3" s="582"/>
      <c r="GJI3" s="582"/>
      <c r="GJJ3" s="582"/>
      <c r="GJK3" s="582"/>
      <c r="GJL3" s="582"/>
      <c r="GJM3" s="582"/>
      <c r="GJN3" s="582"/>
      <c r="GJO3" s="582"/>
      <c r="GJP3" s="582"/>
      <c r="GJQ3" s="582"/>
      <c r="GJR3" s="582"/>
      <c r="GJS3" s="582"/>
      <c r="GJT3" s="582"/>
      <c r="GJU3" s="582"/>
      <c r="GJV3" s="582"/>
      <c r="GJW3" s="582"/>
      <c r="GJX3" s="582"/>
      <c r="GJY3" s="582"/>
      <c r="GJZ3" s="582"/>
      <c r="GKA3" s="582"/>
      <c r="GKB3" s="582"/>
      <c r="GKC3" s="582"/>
      <c r="GKD3" s="582"/>
      <c r="GKE3" s="582"/>
      <c r="GKF3" s="582"/>
      <c r="GKG3" s="582"/>
      <c r="GKH3" s="582"/>
      <c r="GKI3" s="582"/>
      <c r="GKJ3" s="582"/>
      <c r="GKK3" s="582"/>
      <c r="GKL3" s="582"/>
      <c r="GKM3" s="582"/>
      <c r="GKN3" s="582"/>
      <c r="GKO3" s="582"/>
      <c r="GKP3" s="582"/>
      <c r="GKQ3" s="582"/>
      <c r="GKR3" s="582"/>
      <c r="GKS3" s="582"/>
      <c r="GKT3" s="582"/>
      <c r="GKU3" s="582"/>
      <c r="GKV3" s="582"/>
      <c r="GKW3" s="582"/>
      <c r="GKX3" s="582"/>
      <c r="GKY3" s="582"/>
      <c r="GKZ3" s="582"/>
      <c r="GLA3" s="582"/>
      <c r="GLB3" s="582"/>
      <c r="GLC3" s="582"/>
      <c r="GLD3" s="582"/>
      <c r="GLE3" s="582"/>
      <c r="GLF3" s="582"/>
      <c r="GLG3" s="582"/>
      <c r="GLH3" s="582"/>
      <c r="GLI3" s="582"/>
      <c r="GLJ3" s="582"/>
      <c r="GLK3" s="582"/>
      <c r="GLL3" s="582"/>
      <c r="GLM3" s="582"/>
      <c r="GLN3" s="582"/>
      <c r="GLO3" s="582"/>
      <c r="GLP3" s="582"/>
      <c r="GLQ3" s="582"/>
      <c r="GLR3" s="582"/>
      <c r="GLS3" s="582"/>
      <c r="GLT3" s="582"/>
      <c r="GLU3" s="582"/>
      <c r="GLV3" s="582"/>
      <c r="GLW3" s="582"/>
      <c r="GLX3" s="582"/>
      <c r="GLY3" s="582"/>
      <c r="GLZ3" s="582"/>
      <c r="GMA3" s="582"/>
      <c r="GMB3" s="582"/>
      <c r="GMC3" s="582"/>
      <c r="GMD3" s="582"/>
      <c r="GME3" s="582"/>
      <c r="GMF3" s="582"/>
      <c r="GMG3" s="582"/>
      <c r="GMH3" s="582"/>
      <c r="GMI3" s="582"/>
      <c r="GMJ3" s="582"/>
      <c r="GMK3" s="582"/>
      <c r="GML3" s="582"/>
      <c r="GMM3" s="582"/>
      <c r="GMN3" s="582"/>
      <c r="GMO3" s="582"/>
      <c r="GMP3" s="582"/>
      <c r="GMQ3" s="582"/>
      <c r="GMR3" s="582"/>
      <c r="GMS3" s="582"/>
      <c r="GMT3" s="582"/>
      <c r="GMU3" s="582"/>
      <c r="GMV3" s="582"/>
      <c r="GMW3" s="582"/>
      <c r="GMX3" s="582"/>
      <c r="GMY3" s="582"/>
      <c r="GMZ3" s="582"/>
      <c r="GNA3" s="582"/>
      <c r="GNB3" s="582"/>
      <c r="GNC3" s="582"/>
      <c r="GND3" s="582"/>
      <c r="GNE3" s="582"/>
      <c r="GNF3" s="582"/>
      <c r="GNG3" s="582"/>
      <c r="GNH3" s="582"/>
      <c r="GNI3" s="582"/>
      <c r="GNJ3" s="582"/>
      <c r="GNK3" s="582"/>
      <c r="GNL3" s="582"/>
      <c r="GNM3" s="582"/>
      <c r="GNN3" s="582"/>
      <c r="GNO3" s="582"/>
      <c r="GNP3" s="582"/>
      <c r="GNQ3" s="582"/>
      <c r="GNR3" s="582"/>
      <c r="GNS3" s="582"/>
      <c r="GNT3" s="582"/>
      <c r="GNU3" s="582"/>
      <c r="GNV3" s="582"/>
      <c r="GNW3" s="582"/>
      <c r="GNX3" s="582"/>
      <c r="GNY3" s="582"/>
      <c r="GNZ3" s="582"/>
      <c r="GOA3" s="582"/>
      <c r="GOB3" s="582"/>
      <c r="GOC3" s="582"/>
      <c r="GOD3" s="582"/>
      <c r="GOE3" s="582"/>
      <c r="GOF3" s="582"/>
      <c r="GOG3" s="582"/>
      <c r="GOH3" s="582"/>
      <c r="GOI3" s="582"/>
      <c r="GOJ3" s="582"/>
      <c r="GOK3" s="582"/>
      <c r="GOL3" s="582"/>
      <c r="GOM3" s="582"/>
      <c r="GON3" s="582"/>
      <c r="GOO3" s="582"/>
      <c r="GOP3" s="582"/>
      <c r="GOQ3" s="582"/>
      <c r="GOR3" s="582"/>
      <c r="GOS3" s="582"/>
      <c r="GOT3" s="582"/>
      <c r="GOU3" s="582"/>
      <c r="GOV3" s="582"/>
      <c r="GOW3" s="582"/>
      <c r="GOX3" s="582"/>
      <c r="GOY3" s="582"/>
      <c r="GOZ3" s="582"/>
      <c r="GPA3" s="582"/>
      <c r="GPB3" s="582"/>
      <c r="GPC3" s="582"/>
      <c r="GPD3" s="582"/>
      <c r="GPE3" s="582"/>
      <c r="GPF3" s="582"/>
      <c r="GPG3" s="582"/>
      <c r="GPH3" s="582"/>
      <c r="GPI3" s="582"/>
      <c r="GPJ3" s="582"/>
      <c r="GPK3" s="582"/>
      <c r="GPL3" s="582"/>
      <c r="GPM3" s="582"/>
      <c r="GPN3" s="582"/>
      <c r="GPO3" s="582"/>
      <c r="GPP3" s="582"/>
      <c r="GPQ3" s="582"/>
      <c r="GPR3" s="582"/>
      <c r="GPS3" s="582"/>
      <c r="GPT3" s="582"/>
      <c r="GPU3" s="582"/>
      <c r="GPV3" s="582"/>
      <c r="GPW3" s="582"/>
      <c r="GPX3" s="582"/>
      <c r="GPY3" s="582"/>
      <c r="GPZ3" s="582"/>
      <c r="GQA3" s="582"/>
      <c r="GQB3" s="582"/>
      <c r="GQC3" s="582"/>
      <c r="GQD3" s="582"/>
      <c r="GQE3" s="582"/>
      <c r="GQF3" s="582"/>
      <c r="GQG3" s="582"/>
      <c r="GQH3" s="582"/>
      <c r="GQI3" s="582"/>
      <c r="GQJ3" s="582"/>
      <c r="GQK3" s="582"/>
      <c r="GQL3" s="582"/>
      <c r="GQM3" s="582"/>
      <c r="GQN3" s="582"/>
      <c r="GQO3" s="582"/>
      <c r="GQP3" s="582"/>
      <c r="GQQ3" s="582"/>
      <c r="GQR3" s="582"/>
      <c r="GQS3" s="582"/>
      <c r="GQT3" s="582"/>
      <c r="GQU3" s="582"/>
      <c r="GQV3" s="582"/>
      <c r="GQW3" s="582"/>
      <c r="GQX3" s="582"/>
      <c r="GQY3" s="582"/>
      <c r="GQZ3" s="582"/>
      <c r="GRA3" s="582"/>
      <c r="GRB3" s="582"/>
      <c r="GRC3" s="582"/>
      <c r="GRD3" s="582"/>
      <c r="GRE3" s="582"/>
      <c r="GRF3" s="582"/>
      <c r="GRG3" s="582"/>
      <c r="GRH3" s="582"/>
      <c r="GRI3" s="582"/>
      <c r="GRJ3" s="582"/>
      <c r="GRK3" s="582"/>
      <c r="GRL3" s="582"/>
      <c r="GRM3" s="582"/>
      <c r="GRN3" s="582"/>
      <c r="GRO3" s="582"/>
      <c r="GRP3" s="582"/>
      <c r="GRQ3" s="582"/>
      <c r="GRR3" s="582"/>
      <c r="GRS3" s="582"/>
      <c r="GRT3" s="582"/>
      <c r="GRU3" s="582"/>
      <c r="GRV3" s="582"/>
      <c r="GRW3" s="582"/>
      <c r="GRX3" s="582"/>
      <c r="GRY3" s="582"/>
      <c r="GRZ3" s="582"/>
      <c r="GSA3" s="582"/>
      <c r="GSB3" s="582"/>
      <c r="GSC3" s="582"/>
      <c r="GSD3" s="582"/>
      <c r="GSE3" s="582"/>
      <c r="GSF3" s="582"/>
      <c r="GSG3" s="582"/>
      <c r="GSH3" s="582"/>
      <c r="GSI3" s="582"/>
      <c r="GSJ3" s="582"/>
      <c r="GSK3" s="582"/>
      <c r="GSL3" s="582"/>
      <c r="GSM3" s="582"/>
      <c r="GSN3" s="582"/>
      <c r="GSO3" s="582"/>
      <c r="GSP3" s="582"/>
      <c r="GSQ3" s="582"/>
      <c r="GSR3" s="582"/>
      <c r="GSS3" s="582"/>
      <c r="GST3" s="582"/>
      <c r="GSU3" s="582"/>
      <c r="GSV3" s="582"/>
      <c r="GSW3" s="582"/>
      <c r="GSX3" s="582"/>
      <c r="GSY3" s="582"/>
      <c r="GSZ3" s="582"/>
      <c r="GTA3" s="582"/>
      <c r="GTB3" s="582"/>
      <c r="GTC3" s="582"/>
      <c r="GTD3" s="582"/>
      <c r="GTE3" s="582"/>
      <c r="GTF3" s="582"/>
      <c r="GTG3" s="582"/>
      <c r="GTH3" s="582"/>
      <c r="GTI3" s="582"/>
      <c r="GTJ3" s="582"/>
      <c r="GTK3" s="582"/>
      <c r="GTL3" s="582"/>
      <c r="GTM3" s="582"/>
      <c r="GTN3" s="582"/>
      <c r="GTO3" s="582"/>
      <c r="GTP3" s="582"/>
      <c r="GTQ3" s="582"/>
      <c r="GTR3" s="582"/>
      <c r="GTS3" s="582"/>
      <c r="GTT3" s="582"/>
      <c r="GTU3" s="582"/>
      <c r="GTV3" s="582"/>
      <c r="GTW3" s="582"/>
      <c r="GTX3" s="582"/>
      <c r="GTY3" s="582"/>
      <c r="GTZ3" s="582"/>
      <c r="GUA3" s="582"/>
      <c r="GUB3" s="582"/>
      <c r="GUC3" s="582"/>
    </row>
    <row r="4" spans="1:5281" ht="19.5">
      <c r="A4" s="589">
        <v>1</v>
      </c>
      <c r="B4" s="590" t="s">
        <v>770</v>
      </c>
      <c r="C4" s="591">
        <v>9727230</v>
      </c>
      <c r="D4" s="592">
        <v>3493835</v>
      </c>
      <c r="E4" s="592" t="s">
        <v>2017</v>
      </c>
      <c r="F4" s="593">
        <f t="shared" ref="F4:F13" si="0">SUM(C4:E4)</f>
        <v>13221065</v>
      </c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2"/>
      <c r="AG4" s="582"/>
      <c r="AH4" s="582"/>
      <c r="AI4" s="582"/>
      <c r="AJ4" s="582"/>
      <c r="AK4" s="582"/>
      <c r="AL4" s="582"/>
      <c r="AM4" s="582"/>
      <c r="AN4" s="582"/>
      <c r="AO4" s="582"/>
      <c r="AP4" s="582"/>
      <c r="AQ4" s="582"/>
      <c r="AR4" s="582"/>
      <c r="AS4" s="582"/>
      <c r="AT4" s="582"/>
      <c r="AU4" s="582"/>
      <c r="AV4" s="582"/>
      <c r="AW4" s="582"/>
      <c r="AX4" s="582"/>
      <c r="AY4" s="582"/>
      <c r="AZ4" s="582"/>
      <c r="BA4" s="582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2"/>
      <c r="BN4" s="582"/>
      <c r="BO4" s="582"/>
      <c r="BP4" s="582"/>
      <c r="BQ4" s="582"/>
      <c r="BR4" s="582"/>
      <c r="BS4" s="582"/>
      <c r="BT4" s="582"/>
      <c r="BU4" s="582"/>
      <c r="BV4" s="582"/>
      <c r="BW4" s="582"/>
      <c r="BX4" s="582"/>
      <c r="BY4" s="582"/>
      <c r="BZ4" s="582"/>
      <c r="CA4" s="582"/>
      <c r="CB4" s="582"/>
      <c r="CC4" s="582"/>
      <c r="CD4" s="582"/>
      <c r="CE4" s="582"/>
      <c r="CF4" s="582"/>
      <c r="CG4" s="582"/>
      <c r="CH4" s="582"/>
      <c r="CI4" s="582"/>
      <c r="CJ4" s="582"/>
      <c r="CK4" s="582"/>
      <c r="CL4" s="582"/>
      <c r="CM4" s="582"/>
      <c r="CN4" s="582"/>
      <c r="CO4" s="582"/>
      <c r="CP4" s="582"/>
      <c r="CQ4" s="582"/>
      <c r="CR4" s="582"/>
      <c r="CS4" s="582"/>
      <c r="CT4" s="582"/>
      <c r="CU4" s="582"/>
      <c r="CV4" s="582"/>
      <c r="CW4" s="582"/>
      <c r="CX4" s="582"/>
      <c r="CY4" s="582"/>
      <c r="CZ4" s="582"/>
      <c r="DA4" s="582"/>
      <c r="DB4" s="582"/>
      <c r="DC4" s="582"/>
      <c r="DD4" s="582"/>
      <c r="DE4" s="582"/>
      <c r="DF4" s="582"/>
      <c r="DG4" s="582"/>
      <c r="DH4" s="582"/>
      <c r="DI4" s="582"/>
      <c r="DJ4" s="582"/>
      <c r="DK4" s="582"/>
      <c r="DL4" s="582"/>
      <c r="DM4" s="582"/>
      <c r="DN4" s="582"/>
      <c r="DO4" s="582"/>
      <c r="DP4" s="582"/>
      <c r="DQ4" s="582"/>
      <c r="DR4" s="582"/>
      <c r="DS4" s="582"/>
      <c r="DT4" s="582"/>
      <c r="DU4" s="582"/>
      <c r="DV4" s="582"/>
      <c r="DW4" s="582"/>
      <c r="DX4" s="582"/>
      <c r="DY4" s="582"/>
      <c r="DZ4" s="582"/>
      <c r="EA4" s="582"/>
      <c r="EB4" s="582"/>
      <c r="EC4" s="582"/>
      <c r="ED4" s="582"/>
      <c r="EE4" s="582"/>
      <c r="EF4" s="582"/>
      <c r="EG4" s="582"/>
      <c r="EH4" s="582"/>
      <c r="EI4" s="582"/>
      <c r="EJ4" s="582"/>
      <c r="EK4" s="582"/>
      <c r="EL4" s="582"/>
      <c r="EM4" s="582"/>
      <c r="EN4" s="582"/>
      <c r="EO4" s="582"/>
      <c r="EP4" s="582"/>
      <c r="EQ4" s="582"/>
      <c r="ER4" s="582"/>
      <c r="ES4" s="582"/>
      <c r="ET4" s="582"/>
      <c r="EU4" s="582"/>
      <c r="EV4" s="582"/>
      <c r="EW4" s="582"/>
      <c r="EX4" s="582"/>
      <c r="EY4" s="582"/>
      <c r="EZ4" s="582"/>
      <c r="FA4" s="582"/>
      <c r="FB4" s="582"/>
      <c r="FC4" s="582"/>
      <c r="FD4" s="582"/>
      <c r="FE4" s="582"/>
      <c r="FF4" s="582"/>
      <c r="FG4" s="582"/>
      <c r="FH4" s="582"/>
      <c r="FI4" s="582"/>
      <c r="FJ4" s="582"/>
      <c r="FK4" s="582"/>
      <c r="FL4" s="582"/>
      <c r="FM4" s="582"/>
      <c r="FN4" s="582"/>
      <c r="FO4" s="582"/>
      <c r="FP4" s="582"/>
      <c r="FQ4" s="582"/>
      <c r="FR4" s="582"/>
      <c r="FS4" s="582"/>
      <c r="FT4" s="582"/>
      <c r="FU4" s="582"/>
      <c r="FV4" s="582"/>
      <c r="FW4" s="582"/>
      <c r="FX4" s="582"/>
      <c r="FY4" s="582"/>
      <c r="FZ4" s="582"/>
      <c r="GA4" s="582"/>
      <c r="GB4" s="582"/>
      <c r="GC4" s="582"/>
      <c r="GD4" s="582"/>
      <c r="GE4" s="582"/>
      <c r="GF4" s="582"/>
      <c r="GG4" s="582"/>
      <c r="GH4" s="582"/>
      <c r="GI4" s="582"/>
      <c r="GJ4" s="582"/>
      <c r="GK4" s="582"/>
      <c r="GL4" s="582"/>
      <c r="GM4" s="582"/>
      <c r="GN4" s="582"/>
      <c r="GO4" s="582"/>
      <c r="GP4" s="582"/>
      <c r="GQ4" s="582"/>
      <c r="GR4" s="582"/>
      <c r="GS4" s="582"/>
      <c r="GT4" s="582"/>
      <c r="GU4" s="582"/>
      <c r="GV4" s="582"/>
      <c r="GW4" s="582"/>
      <c r="GX4" s="582"/>
      <c r="GY4" s="582"/>
      <c r="GZ4" s="582"/>
      <c r="HA4" s="582"/>
      <c r="HB4" s="582"/>
      <c r="HC4" s="582"/>
      <c r="HD4" s="582"/>
      <c r="HE4" s="582"/>
      <c r="HF4" s="582"/>
      <c r="HG4" s="582"/>
      <c r="HH4" s="582"/>
      <c r="HI4" s="582"/>
      <c r="HJ4" s="582"/>
      <c r="HK4" s="582"/>
      <c r="HL4" s="582"/>
      <c r="HM4" s="582"/>
      <c r="HN4" s="582"/>
      <c r="HO4" s="582"/>
      <c r="HP4" s="582"/>
      <c r="HQ4" s="582"/>
      <c r="HR4" s="582"/>
      <c r="HS4" s="582"/>
      <c r="HT4" s="582"/>
      <c r="HU4" s="582"/>
      <c r="HV4" s="582"/>
      <c r="HW4" s="582"/>
      <c r="HX4" s="582"/>
      <c r="HY4" s="582"/>
      <c r="HZ4" s="582"/>
      <c r="IA4" s="582"/>
      <c r="IB4" s="582"/>
      <c r="IC4" s="582"/>
      <c r="ID4" s="582"/>
      <c r="IE4" s="582"/>
      <c r="IF4" s="582"/>
      <c r="IG4" s="582"/>
      <c r="IH4" s="582"/>
      <c r="II4" s="582"/>
      <c r="IJ4" s="582"/>
      <c r="IK4" s="582"/>
      <c r="IL4" s="582"/>
      <c r="IM4" s="582"/>
      <c r="IN4" s="582"/>
      <c r="IO4" s="582"/>
      <c r="IP4" s="582"/>
      <c r="IQ4" s="582"/>
      <c r="IR4" s="582"/>
      <c r="IS4" s="582"/>
      <c r="IT4" s="582"/>
      <c r="IU4" s="582"/>
      <c r="IV4" s="582"/>
      <c r="IW4" s="582"/>
      <c r="IX4" s="582"/>
      <c r="IY4" s="582"/>
      <c r="IZ4" s="582"/>
      <c r="JA4" s="582"/>
      <c r="JB4" s="582"/>
      <c r="JC4" s="582"/>
      <c r="JD4" s="582"/>
      <c r="JE4" s="582"/>
      <c r="JF4" s="582"/>
      <c r="JG4" s="582"/>
      <c r="JH4" s="582"/>
      <c r="JI4" s="582"/>
      <c r="JJ4" s="582"/>
      <c r="JK4" s="582"/>
      <c r="JL4" s="582"/>
      <c r="JM4" s="582"/>
      <c r="JN4" s="582"/>
      <c r="JO4" s="582"/>
      <c r="JP4" s="582"/>
      <c r="JQ4" s="582"/>
      <c r="JR4" s="582"/>
      <c r="JS4" s="582"/>
      <c r="JT4" s="582"/>
      <c r="JU4" s="582"/>
      <c r="JV4" s="582"/>
      <c r="JW4" s="582"/>
      <c r="JX4" s="582"/>
      <c r="JY4" s="582"/>
      <c r="JZ4" s="582"/>
      <c r="KA4" s="582"/>
      <c r="KB4" s="582"/>
      <c r="KC4" s="582"/>
      <c r="KD4" s="582"/>
      <c r="KE4" s="582"/>
      <c r="KF4" s="582"/>
      <c r="KG4" s="582"/>
      <c r="KH4" s="582"/>
      <c r="KI4" s="582"/>
      <c r="KJ4" s="582"/>
      <c r="KK4" s="582"/>
      <c r="KL4" s="582"/>
      <c r="KM4" s="582"/>
      <c r="KN4" s="582"/>
      <c r="KO4" s="582"/>
      <c r="KP4" s="582"/>
      <c r="KQ4" s="582"/>
      <c r="KR4" s="582"/>
      <c r="KS4" s="582"/>
      <c r="KT4" s="582"/>
      <c r="KU4" s="582"/>
      <c r="KV4" s="582"/>
      <c r="KW4" s="582"/>
      <c r="KX4" s="582"/>
      <c r="KY4" s="582"/>
      <c r="KZ4" s="582"/>
      <c r="LA4" s="582"/>
      <c r="LB4" s="582"/>
      <c r="LC4" s="582"/>
      <c r="LD4" s="582"/>
      <c r="LE4" s="582"/>
      <c r="LF4" s="582"/>
      <c r="LG4" s="582"/>
      <c r="LH4" s="582"/>
      <c r="LI4" s="582"/>
      <c r="LJ4" s="582"/>
      <c r="LK4" s="582"/>
      <c r="LL4" s="582"/>
      <c r="LM4" s="582"/>
      <c r="LN4" s="582"/>
      <c r="LO4" s="582"/>
      <c r="LP4" s="582"/>
      <c r="LQ4" s="582"/>
      <c r="LR4" s="582"/>
      <c r="LS4" s="582"/>
      <c r="LT4" s="582"/>
      <c r="LU4" s="582"/>
      <c r="LV4" s="582"/>
      <c r="LW4" s="582"/>
      <c r="LX4" s="582"/>
      <c r="LY4" s="582"/>
      <c r="LZ4" s="582"/>
      <c r="MA4" s="582"/>
      <c r="MB4" s="582"/>
      <c r="MC4" s="582"/>
      <c r="MD4" s="582"/>
      <c r="ME4" s="582"/>
      <c r="MF4" s="582"/>
      <c r="MG4" s="582"/>
      <c r="MH4" s="582"/>
      <c r="MI4" s="582"/>
      <c r="MJ4" s="582"/>
      <c r="MK4" s="582"/>
      <c r="ML4" s="582"/>
      <c r="MM4" s="582"/>
      <c r="MN4" s="582"/>
      <c r="MO4" s="582"/>
      <c r="MP4" s="582"/>
      <c r="MQ4" s="582"/>
      <c r="MR4" s="582"/>
      <c r="MS4" s="582"/>
      <c r="MT4" s="582"/>
      <c r="MU4" s="582"/>
      <c r="MV4" s="582"/>
      <c r="MW4" s="582"/>
      <c r="MX4" s="582"/>
      <c r="MY4" s="582"/>
      <c r="MZ4" s="582"/>
      <c r="NA4" s="582"/>
      <c r="NB4" s="582"/>
      <c r="NC4" s="582"/>
      <c r="ND4" s="582"/>
      <c r="NE4" s="582"/>
      <c r="NF4" s="582"/>
      <c r="NG4" s="582"/>
      <c r="NH4" s="582"/>
      <c r="NI4" s="582"/>
      <c r="NJ4" s="582"/>
      <c r="NK4" s="582"/>
      <c r="NL4" s="582"/>
      <c r="NM4" s="582"/>
      <c r="NN4" s="582"/>
      <c r="NO4" s="582"/>
      <c r="NP4" s="582"/>
      <c r="NQ4" s="582"/>
      <c r="NR4" s="582"/>
      <c r="NS4" s="582"/>
      <c r="NT4" s="582"/>
      <c r="NU4" s="582"/>
      <c r="NV4" s="582"/>
      <c r="NW4" s="582"/>
      <c r="NX4" s="582"/>
      <c r="NY4" s="582"/>
      <c r="NZ4" s="582"/>
      <c r="OA4" s="582"/>
      <c r="OB4" s="582"/>
      <c r="OC4" s="582"/>
      <c r="OD4" s="582"/>
      <c r="OE4" s="582"/>
      <c r="OF4" s="582"/>
      <c r="OG4" s="582"/>
      <c r="OH4" s="582"/>
      <c r="OI4" s="582"/>
      <c r="OJ4" s="582"/>
      <c r="OK4" s="582"/>
      <c r="OL4" s="582"/>
      <c r="OM4" s="582"/>
      <c r="ON4" s="582"/>
      <c r="OO4" s="582"/>
      <c r="OP4" s="582"/>
      <c r="OQ4" s="582"/>
      <c r="OR4" s="582"/>
      <c r="OS4" s="582"/>
      <c r="OT4" s="582"/>
      <c r="OU4" s="582"/>
      <c r="OV4" s="582"/>
      <c r="OW4" s="582"/>
      <c r="OX4" s="582"/>
      <c r="OY4" s="582"/>
      <c r="OZ4" s="582"/>
      <c r="PA4" s="582"/>
      <c r="PB4" s="582"/>
      <c r="PC4" s="582"/>
      <c r="PD4" s="582"/>
      <c r="PE4" s="582"/>
      <c r="PF4" s="582"/>
      <c r="PG4" s="582"/>
      <c r="PH4" s="582"/>
      <c r="PI4" s="582"/>
      <c r="PJ4" s="582"/>
      <c r="PK4" s="582"/>
      <c r="PL4" s="582"/>
      <c r="PM4" s="582"/>
      <c r="PN4" s="582"/>
      <c r="PO4" s="582"/>
      <c r="PP4" s="582"/>
      <c r="PQ4" s="582"/>
      <c r="PR4" s="582"/>
      <c r="PS4" s="582"/>
      <c r="PT4" s="582"/>
      <c r="PU4" s="582"/>
      <c r="PV4" s="582"/>
      <c r="PW4" s="582"/>
      <c r="PX4" s="582"/>
      <c r="PY4" s="582"/>
      <c r="PZ4" s="582"/>
      <c r="QA4" s="582"/>
      <c r="QB4" s="582"/>
      <c r="QC4" s="582"/>
      <c r="QD4" s="582"/>
      <c r="QE4" s="582"/>
      <c r="QF4" s="582"/>
      <c r="QG4" s="582"/>
      <c r="QH4" s="582"/>
      <c r="QI4" s="582"/>
      <c r="QJ4" s="582"/>
      <c r="QK4" s="582"/>
      <c r="QL4" s="582"/>
      <c r="QM4" s="582"/>
      <c r="QN4" s="582"/>
      <c r="QO4" s="582"/>
      <c r="QP4" s="582"/>
      <c r="QQ4" s="582"/>
      <c r="QR4" s="582"/>
      <c r="QS4" s="582"/>
      <c r="QT4" s="582"/>
      <c r="QU4" s="582"/>
      <c r="QV4" s="582"/>
      <c r="QW4" s="582"/>
      <c r="QX4" s="582"/>
      <c r="QY4" s="582"/>
      <c r="QZ4" s="582"/>
      <c r="RA4" s="582"/>
      <c r="RB4" s="582"/>
      <c r="RC4" s="582"/>
      <c r="RD4" s="582"/>
      <c r="RE4" s="582"/>
      <c r="RF4" s="582"/>
      <c r="RG4" s="582"/>
      <c r="RH4" s="582"/>
      <c r="RI4" s="582"/>
      <c r="RJ4" s="582"/>
      <c r="RK4" s="582"/>
      <c r="RL4" s="582"/>
      <c r="RM4" s="582"/>
      <c r="RN4" s="582"/>
      <c r="RO4" s="582"/>
      <c r="RP4" s="582"/>
      <c r="RQ4" s="582"/>
      <c r="RR4" s="582"/>
      <c r="RS4" s="582"/>
      <c r="RT4" s="582"/>
      <c r="RU4" s="582"/>
      <c r="RV4" s="582"/>
      <c r="RW4" s="582"/>
      <c r="RX4" s="582"/>
      <c r="RY4" s="582"/>
      <c r="RZ4" s="582"/>
      <c r="SA4" s="582"/>
      <c r="SB4" s="582"/>
      <c r="SC4" s="582"/>
      <c r="SD4" s="582"/>
      <c r="SE4" s="582"/>
      <c r="SF4" s="582"/>
      <c r="SG4" s="582"/>
      <c r="SH4" s="582"/>
      <c r="SI4" s="582"/>
      <c r="SJ4" s="582"/>
      <c r="SK4" s="582"/>
      <c r="SL4" s="582"/>
      <c r="SM4" s="582"/>
      <c r="SN4" s="582"/>
      <c r="SO4" s="582"/>
      <c r="SP4" s="582"/>
      <c r="SQ4" s="582"/>
      <c r="SR4" s="582"/>
      <c r="SS4" s="582"/>
      <c r="ST4" s="582"/>
      <c r="SU4" s="582"/>
      <c r="SV4" s="582"/>
      <c r="SW4" s="582"/>
      <c r="SX4" s="582"/>
      <c r="SY4" s="582"/>
      <c r="SZ4" s="582"/>
      <c r="TA4" s="582"/>
      <c r="TB4" s="582"/>
      <c r="TC4" s="582"/>
      <c r="TD4" s="582"/>
      <c r="TE4" s="582"/>
      <c r="TF4" s="582"/>
      <c r="TG4" s="582"/>
      <c r="TH4" s="582"/>
      <c r="TI4" s="582"/>
      <c r="TJ4" s="582"/>
      <c r="TK4" s="582"/>
      <c r="TL4" s="582"/>
      <c r="TM4" s="582"/>
      <c r="TN4" s="582"/>
      <c r="TO4" s="582"/>
      <c r="TP4" s="582"/>
      <c r="TQ4" s="582"/>
      <c r="TR4" s="582"/>
      <c r="TS4" s="582"/>
      <c r="TT4" s="582"/>
      <c r="TU4" s="582"/>
      <c r="TV4" s="582"/>
      <c r="TW4" s="582"/>
      <c r="TX4" s="582"/>
      <c r="TY4" s="582"/>
      <c r="TZ4" s="582"/>
      <c r="UA4" s="582"/>
      <c r="UB4" s="582"/>
      <c r="UC4" s="582"/>
      <c r="UD4" s="582"/>
      <c r="UE4" s="582"/>
      <c r="UF4" s="582"/>
      <c r="UG4" s="582"/>
      <c r="UH4" s="582"/>
      <c r="UI4" s="582"/>
      <c r="UJ4" s="582"/>
      <c r="UK4" s="582"/>
      <c r="UL4" s="582"/>
      <c r="UM4" s="582"/>
      <c r="UN4" s="582"/>
      <c r="UO4" s="582"/>
      <c r="UP4" s="582"/>
      <c r="UQ4" s="582"/>
      <c r="UR4" s="582"/>
      <c r="US4" s="582"/>
      <c r="UT4" s="582"/>
      <c r="UU4" s="582"/>
      <c r="UV4" s="582"/>
      <c r="UW4" s="582"/>
      <c r="UX4" s="582"/>
      <c r="UY4" s="582"/>
      <c r="UZ4" s="582"/>
      <c r="VA4" s="582"/>
      <c r="VB4" s="582"/>
      <c r="VC4" s="582"/>
      <c r="VD4" s="582"/>
      <c r="VE4" s="582"/>
      <c r="VF4" s="582"/>
      <c r="VG4" s="582"/>
      <c r="VH4" s="582"/>
      <c r="VI4" s="582"/>
      <c r="VJ4" s="582"/>
      <c r="VK4" s="582"/>
      <c r="VL4" s="582"/>
      <c r="VM4" s="582"/>
      <c r="VN4" s="582"/>
      <c r="VO4" s="582"/>
      <c r="VP4" s="582"/>
      <c r="VQ4" s="582"/>
      <c r="VR4" s="582"/>
      <c r="VS4" s="582"/>
      <c r="VT4" s="582"/>
      <c r="VU4" s="582"/>
      <c r="VV4" s="582"/>
      <c r="VW4" s="582"/>
      <c r="VX4" s="582"/>
      <c r="VY4" s="582"/>
      <c r="VZ4" s="582"/>
      <c r="WA4" s="582"/>
      <c r="WB4" s="582"/>
      <c r="WC4" s="582"/>
      <c r="WD4" s="582"/>
      <c r="WE4" s="582"/>
      <c r="WF4" s="582"/>
      <c r="WG4" s="582"/>
      <c r="WH4" s="582"/>
      <c r="WI4" s="582"/>
      <c r="WJ4" s="582"/>
      <c r="WK4" s="582"/>
      <c r="WL4" s="582"/>
      <c r="WM4" s="582"/>
      <c r="WN4" s="582"/>
      <c r="WO4" s="582"/>
      <c r="WP4" s="582"/>
      <c r="WQ4" s="582"/>
      <c r="WR4" s="582"/>
      <c r="WS4" s="582"/>
      <c r="WT4" s="582"/>
      <c r="WU4" s="582"/>
      <c r="WV4" s="582"/>
      <c r="WW4" s="582"/>
      <c r="WX4" s="582"/>
      <c r="WY4" s="582"/>
      <c r="WZ4" s="582"/>
      <c r="XA4" s="582"/>
      <c r="XB4" s="582"/>
      <c r="XC4" s="582"/>
      <c r="XD4" s="582"/>
      <c r="XE4" s="582"/>
      <c r="XF4" s="582"/>
      <c r="XG4" s="582"/>
      <c r="XH4" s="582"/>
      <c r="XI4" s="582"/>
      <c r="XJ4" s="582"/>
      <c r="XK4" s="582"/>
      <c r="XL4" s="582"/>
      <c r="XM4" s="582"/>
      <c r="XN4" s="582"/>
      <c r="XO4" s="582"/>
      <c r="XP4" s="582"/>
      <c r="XQ4" s="582"/>
      <c r="XR4" s="582"/>
      <c r="XS4" s="582"/>
      <c r="XT4" s="582"/>
      <c r="XU4" s="582"/>
      <c r="XV4" s="582"/>
      <c r="XW4" s="582"/>
      <c r="XX4" s="582"/>
      <c r="XY4" s="582"/>
      <c r="XZ4" s="582"/>
      <c r="YA4" s="582"/>
      <c r="YB4" s="582"/>
      <c r="YC4" s="582"/>
      <c r="YD4" s="582"/>
      <c r="YE4" s="582"/>
      <c r="YF4" s="582"/>
      <c r="YG4" s="582"/>
      <c r="YH4" s="582"/>
      <c r="YI4" s="582"/>
      <c r="YJ4" s="582"/>
      <c r="YK4" s="582"/>
      <c r="YL4" s="582"/>
      <c r="YM4" s="582"/>
      <c r="YN4" s="582"/>
      <c r="YO4" s="582"/>
      <c r="YP4" s="582"/>
      <c r="YQ4" s="582"/>
      <c r="YR4" s="582"/>
      <c r="YS4" s="582"/>
      <c r="YT4" s="582"/>
      <c r="YU4" s="582"/>
      <c r="YV4" s="582"/>
      <c r="YW4" s="582"/>
      <c r="YX4" s="582"/>
      <c r="YY4" s="582"/>
      <c r="YZ4" s="582"/>
      <c r="ZA4" s="582"/>
      <c r="ZB4" s="582"/>
      <c r="ZC4" s="582"/>
      <c r="ZD4" s="582"/>
      <c r="ZE4" s="582"/>
      <c r="ZF4" s="582"/>
      <c r="ZG4" s="582"/>
      <c r="ZH4" s="582"/>
      <c r="ZI4" s="582"/>
      <c r="ZJ4" s="582"/>
      <c r="ZK4" s="582"/>
      <c r="ZL4" s="582"/>
      <c r="ZM4" s="582"/>
      <c r="ZN4" s="582"/>
      <c r="ZO4" s="582"/>
      <c r="ZP4" s="582"/>
      <c r="ZQ4" s="582"/>
      <c r="ZR4" s="582"/>
      <c r="ZS4" s="582"/>
      <c r="ZT4" s="582"/>
      <c r="ZU4" s="582"/>
      <c r="ZV4" s="582"/>
      <c r="ZW4" s="582"/>
      <c r="ZX4" s="582"/>
      <c r="ZY4" s="582"/>
      <c r="ZZ4" s="582"/>
      <c r="AAA4" s="582"/>
      <c r="AAB4" s="582"/>
      <c r="AAC4" s="582"/>
      <c r="AAD4" s="582"/>
      <c r="AAE4" s="582"/>
      <c r="AAF4" s="582"/>
      <c r="AAG4" s="582"/>
      <c r="AAH4" s="582"/>
      <c r="AAI4" s="582"/>
      <c r="AAJ4" s="582"/>
      <c r="AAK4" s="582"/>
      <c r="AAL4" s="582"/>
      <c r="AAM4" s="582"/>
      <c r="AAN4" s="582"/>
      <c r="AAO4" s="582"/>
      <c r="AAP4" s="582"/>
      <c r="AAQ4" s="582"/>
      <c r="AAR4" s="582"/>
      <c r="AAS4" s="582"/>
      <c r="AAT4" s="582"/>
      <c r="AAU4" s="582"/>
      <c r="AAV4" s="582"/>
      <c r="AAW4" s="582"/>
      <c r="AAX4" s="582"/>
      <c r="AAY4" s="582"/>
      <c r="AAZ4" s="582"/>
      <c r="ABA4" s="582"/>
      <c r="ABB4" s="582"/>
      <c r="ABC4" s="582"/>
      <c r="ABD4" s="582"/>
      <c r="ABE4" s="582"/>
      <c r="ABF4" s="582"/>
      <c r="ABG4" s="582"/>
      <c r="ABH4" s="582"/>
      <c r="ABI4" s="582"/>
      <c r="ABJ4" s="582"/>
      <c r="ABK4" s="582"/>
      <c r="ABL4" s="582"/>
      <c r="ABM4" s="582"/>
      <c r="ABN4" s="582"/>
      <c r="ABO4" s="582"/>
      <c r="ABP4" s="582"/>
      <c r="ABQ4" s="582"/>
      <c r="ABR4" s="582"/>
      <c r="ABS4" s="582"/>
      <c r="ABT4" s="582"/>
      <c r="ABU4" s="582"/>
      <c r="ABV4" s="582"/>
      <c r="ABW4" s="582"/>
      <c r="ABX4" s="582"/>
      <c r="ABY4" s="582"/>
      <c r="ABZ4" s="582"/>
      <c r="ACA4" s="582"/>
      <c r="ACB4" s="582"/>
      <c r="ACC4" s="582"/>
      <c r="ACD4" s="582"/>
      <c r="ACE4" s="582"/>
      <c r="ACF4" s="582"/>
      <c r="ACG4" s="582"/>
      <c r="ACH4" s="582"/>
      <c r="ACI4" s="582"/>
      <c r="ACJ4" s="582"/>
      <c r="ACK4" s="582"/>
      <c r="ACL4" s="582"/>
      <c r="ACM4" s="582"/>
      <c r="ACN4" s="582"/>
      <c r="ACO4" s="582"/>
      <c r="ACP4" s="582"/>
      <c r="ACQ4" s="582"/>
      <c r="ACR4" s="582"/>
      <c r="ACS4" s="582"/>
      <c r="ACT4" s="582"/>
      <c r="ACU4" s="582"/>
      <c r="ACV4" s="582"/>
      <c r="ACW4" s="582"/>
      <c r="ACX4" s="582"/>
      <c r="ACY4" s="582"/>
      <c r="ACZ4" s="582"/>
      <c r="ADA4" s="582"/>
      <c r="ADB4" s="582"/>
      <c r="ADC4" s="582"/>
      <c r="ADD4" s="582"/>
      <c r="ADE4" s="582"/>
      <c r="ADF4" s="582"/>
      <c r="ADG4" s="582"/>
      <c r="ADH4" s="582"/>
      <c r="ADI4" s="582"/>
      <c r="ADJ4" s="582"/>
      <c r="ADK4" s="582"/>
      <c r="ADL4" s="582"/>
      <c r="ADM4" s="582"/>
      <c r="ADN4" s="582"/>
      <c r="ADO4" s="582"/>
      <c r="ADP4" s="582"/>
      <c r="ADQ4" s="582"/>
      <c r="ADR4" s="582"/>
      <c r="ADS4" s="582"/>
      <c r="ADT4" s="582"/>
      <c r="ADU4" s="582"/>
      <c r="ADV4" s="582"/>
      <c r="ADW4" s="582"/>
      <c r="ADX4" s="582"/>
      <c r="ADY4" s="582"/>
      <c r="ADZ4" s="582"/>
      <c r="AEA4" s="582"/>
      <c r="AEB4" s="582"/>
      <c r="AEC4" s="582"/>
      <c r="AED4" s="582"/>
      <c r="AEE4" s="582"/>
      <c r="AEF4" s="582"/>
      <c r="AEG4" s="582"/>
      <c r="AEH4" s="582"/>
      <c r="AEI4" s="582"/>
      <c r="AEJ4" s="582"/>
      <c r="AEK4" s="582"/>
      <c r="AEL4" s="582"/>
      <c r="AEM4" s="582"/>
      <c r="AEN4" s="582"/>
      <c r="AEO4" s="582"/>
      <c r="AEP4" s="582"/>
      <c r="AEQ4" s="582"/>
      <c r="AER4" s="582"/>
      <c r="AES4" s="582"/>
      <c r="AET4" s="582"/>
      <c r="AEU4" s="582"/>
      <c r="AEV4" s="582"/>
      <c r="AEW4" s="582"/>
      <c r="AEX4" s="582"/>
      <c r="AEY4" s="582"/>
      <c r="AEZ4" s="582"/>
      <c r="AFA4" s="582"/>
      <c r="AFB4" s="582"/>
      <c r="AFC4" s="582"/>
      <c r="AFD4" s="582"/>
      <c r="AFE4" s="582"/>
      <c r="AFF4" s="582"/>
      <c r="AFG4" s="582"/>
      <c r="AFH4" s="582"/>
      <c r="AFI4" s="582"/>
      <c r="AFJ4" s="582"/>
      <c r="AFK4" s="582"/>
      <c r="AFL4" s="582"/>
      <c r="AFM4" s="582"/>
      <c r="AFN4" s="582"/>
      <c r="AFO4" s="582"/>
      <c r="AFP4" s="582"/>
      <c r="AFQ4" s="582"/>
      <c r="AFR4" s="582"/>
      <c r="AFS4" s="582"/>
      <c r="AFT4" s="582"/>
      <c r="AFU4" s="582"/>
      <c r="AFV4" s="582"/>
      <c r="AFW4" s="582"/>
      <c r="AFX4" s="582"/>
      <c r="AFY4" s="582"/>
      <c r="AFZ4" s="582"/>
      <c r="AGA4" s="582"/>
      <c r="AGB4" s="582"/>
      <c r="AGC4" s="582"/>
      <c r="AGD4" s="582"/>
      <c r="AGE4" s="582"/>
      <c r="AGF4" s="582"/>
      <c r="AGG4" s="582"/>
      <c r="AGH4" s="582"/>
      <c r="AGI4" s="582"/>
      <c r="AGJ4" s="582"/>
      <c r="AGK4" s="582"/>
      <c r="AGL4" s="582"/>
      <c r="AGM4" s="582"/>
      <c r="AGN4" s="582"/>
      <c r="AGO4" s="582"/>
      <c r="AGP4" s="582"/>
      <c r="AGQ4" s="582"/>
      <c r="AGR4" s="582"/>
      <c r="AGS4" s="582"/>
      <c r="AGT4" s="582"/>
      <c r="AGU4" s="582"/>
      <c r="AGV4" s="582"/>
      <c r="AGW4" s="582"/>
      <c r="AGX4" s="582"/>
      <c r="AGY4" s="582"/>
      <c r="AGZ4" s="582"/>
      <c r="AHA4" s="582"/>
      <c r="AHB4" s="582"/>
      <c r="AHC4" s="582"/>
      <c r="AHD4" s="582"/>
      <c r="AHE4" s="582"/>
      <c r="AHF4" s="582"/>
      <c r="AHG4" s="582"/>
      <c r="AHH4" s="582"/>
      <c r="AHI4" s="582"/>
      <c r="AHJ4" s="582"/>
      <c r="AHK4" s="582"/>
      <c r="AHL4" s="582"/>
      <c r="AHM4" s="582"/>
      <c r="AHN4" s="582"/>
      <c r="AHO4" s="582"/>
      <c r="AHP4" s="582"/>
      <c r="AHQ4" s="582"/>
      <c r="AHR4" s="582"/>
      <c r="AHS4" s="582"/>
      <c r="AHT4" s="582"/>
      <c r="AHU4" s="582"/>
      <c r="AHV4" s="582"/>
      <c r="AHW4" s="582"/>
      <c r="AHX4" s="582"/>
      <c r="AHY4" s="582"/>
      <c r="AHZ4" s="582"/>
      <c r="AIA4" s="582"/>
      <c r="AIB4" s="582"/>
      <c r="AIC4" s="582"/>
      <c r="AID4" s="582"/>
      <c r="AIE4" s="582"/>
      <c r="AIF4" s="582"/>
      <c r="AIG4" s="582"/>
      <c r="AIH4" s="582"/>
      <c r="AII4" s="582"/>
      <c r="AIJ4" s="582"/>
      <c r="AIK4" s="582"/>
      <c r="AIL4" s="582"/>
      <c r="AIM4" s="582"/>
      <c r="AIN4" s="582"/>
      <c r="AIO4" s="582"/>
      <c r="AIP4" s="582"/>
      <c r="AIQ4" s="582"/>
      <c r="AIR4" s="582"/>
      <c r="AIS4" s="582"/>
      <c r="AIT4" s="582"/>
      <c r="AIU4" s="582"/>
      <c r="AIV4" s="582"/>
      <c r="AIW4" s="582"/>
      <c r="AIX4" s="582"/>
      <c r="AIY4" s="582"/>
      <c r="AIZ4" s="582"/>
      <c r="AJA4" s="582"/>
      <c r="AJB4" s="582"/>
      <c r="AJC4" s="582"/>
      <c r="AJD4" s="582"/>
      <c r="AJE4" s="582"/>
      <c r="AJF4" s="582"/>
      <c r="AJG4" s="582"/>
      <c r="AJH4" s="582"/>
      <c r="AJI4" s="582"/>
      <c r="AJJ4" s="582"/>
      <c r="AJK4" s="582"/>
      <c r="AJL4" s="582"/>
      <c r="AJM4" s="582"/>
      <c r="AJN4" s="582"/>
      <c r="AJO4" s="582"/>
      <c r="AJP4" s="582"/>
      <c r="AJQ4" s="582"/>
      <c r="AJR4" s="582"/>
      <c r="AJS4" s="582"/>
      <c r="AJT4" s="582"/>
      <c r="AJU4" s="582"/>
      <c r="AJV4" s="582"/>
      <c r="AJW4" s="582"/>
      <c r="AJX4" s="582"/>
      <c r="AJY4" s="582"/>
      <c r="AJZ4" s="582"/>
      <c r="AKA4" s="582"/>
      <c r="AKB4" s="582"/>
      <c r="AKC4" s="582"/>
      <c r="AKD4" s="582"/>
      <c r="AKE4" s="582"/>
      <c r="AKF4" s="582"/>
      <c r="AKG4" s="582"/>
      <c r="AKH4" s="582"/>
      <c r="AKI4" s="582"/>
      <c r="AKJ4" s="582"/>
      <c r="AKK4" s="582"/>
      <c r="AKL4" s="582"/>
      <c r="AKM4" s="582"/>
      <c r="AKN4" s="582"/>
      <c r="AKO4" s="582"/>
      <c r="AKP4" s="582"/>
      <c r="AKQ4" s="582"/>
      <c r="AKR4" s="582"/>
      <c r="AKS4" s="582"/>
      <c r="AKT4" s="582"/>
      <c r="AKU4" s="582"/>
      <c r="AKV4" s="582"/>
      <c r="AKW4" s="582"/>
      <c r="AKX4" s="582"/>
      <c r="AKY4" s="582"/>
      <c r="AKZ4" s="582"/>
      <c r="ALA4" s="582"/>
      <c r="ALB4" s="582"/>
      <c r="ALC4" s="582"/>
      <c r="ALD4" s="582"/>
      <c r="ALE4" s="582"/>
      <c r="ALF4" s="582"/>
      <c r="ALG4" s="582"/>
      <c r="ALH4" s="582"/>
      <c r="ALI4" s="582"/>
      <c r="ALJ4" s="582"/>
      <c r="ALK4" s="582"/>
      <c r="ALL4" s="582"/>
      <c r="ALM4" s="582"/>
      <c r="ALN4" s="582"/>
      <c r="ALO4" s="582"/>
      <c r="ALP4" s="582"/>
      <c r="ALQ4" s="582"/>
      <c r="ALR4" s="582"/>
      <c r="ALS4" s="582"/>
      <c r="ALT4" s="582"/>
      <c r="ALU4" s="582"/>
      <c r="ALV4" s="582"/>
      <c r="ALW4" s="582"/>
      <c r="ALX4" s="582"/>
      <c r="ALY4" s="582"/>
      <c r="ALZ4" s="582"/>
      <c r="AMA4" s="582"/>
      <c r="AMB4" s="582"/>
      <c r="AMC4" s="582"/>
      <c r="AMD4" s="582"/>
      <c r="AME4" s="582"/>
      <c r="AMF4" s="582"/>
      <c r="AMG4" s="582"/>
      <c r="AMH4" s="582"/>
      <c r="AMI4" s="582"/>
      <c r="AMJ4" s="582"/>
      <c r="AMK4" s="582"/>
      <c r="AML4" s="582"/>
      <c r="AMM4" s="582"/>
      <c r="AMN4" s="582"/>
      <c r="AMO4" s="582"/>
      <c r="AMP4" s="582"/>
      <c r="AMQ4" s="582"/>
      <c r="AMR4" s="582"/>
      <c r="AMS4" s="582"/>
      <c r="AMT4" s="582"/>
      <c r="AMU4" s="582"/>
      <c r="AMV4" s="582"/>
      <c r="AMW4" s="582"/>
      <c r="AMX4" s="582"/>
      <c r="AMY4" s="582"/>
      <c r="AMZ4" s="582"/>
      <c r="ANA4" s="582"/>
      <c r="ANB4" s="582"/>
      <c r="ANC4" s="582"/>
      <c r="AND4" s="582"/>
      <c r="ANE4" s="582"/>
      <c r="ANF4" s="582"/>
      <c r="ANG4" s="582"/>
      <c r="ANH4" s="582"/>
      <c r="ANI4" s="582"/>
      <c r="ANJ4" s="582"/>
      <c r="ANK4" s="582"/>
      <c r="ANL4" s="582"/>
      <c r="ANM4" s="582"/>
      <c r="ANN4" s="582"/>
      <c r="ANO4" s="582"/>
      <c r="ANP4" s="582"/>
      <c r="ANQ4" s="582"/>
      <c r="ANR4" s="582"/>
      <c r="ANS4" s="582"/>
      <c r="ANT4" s="582"/>
      <c r="ANU4" s="582"/>
      <c r="ANV4" s="582"/>
      <c r="ANW4" s="582"/>
      <c r="ANX4" s="582"/>
      <c r="ANY4" s="582"/>
      <c r="ANZ4" s="582"/>
      <c r="AOA4" s="582"/>
      <c r="AOB4" s="582"/>
      <c r="AOC4" s="582"/>
      <c r="AOD4" s="582"/>
      <c r="AOE4" s="582"/>
      <c r="AOF4" s="582"/>
      <c r="AOG4" s="582"/>
      <c r="AOH4" s="582"/>
      <c r="AOI4" s="582"/>
      <c r="AOJ4" s="582"/>
      <c r="AOK4" s="582"/>
      <c r="AOL4" s="582"/>
      <c r="AOM4" s="582"/>
      <c r="AON4" s="582"/>
      <c r="AOO4" s="582"/>
      <c r="AOP4" s="582"/>
      <c r="AOQ4" s="582"/>
      <c r="AOR4" s="582"/>
      <c r="AOS4" s="582"/>
      <c r="AOT4" s="582"/>
      <c r="AOU4" s="582"/>
      <c r="AOV4" s="582"/>
      <c r="AOW4" s="582"/>
      <c r="AOX4" s="582"/>
      <c r="AOY4" s="582"/>
      <c r="AOZ4" s="582"/>
      <c r="APA4" s="582"/>
      <c r="APB4" s="582"/>
      <c r="APC4" s="582"/>
      <c r="APD4" s="582"/>
      <c r="APE4" s="582"/>
      <c r="APF4" s="582"/>
      <c r="APG4" s="582"/>
      <c r="APH4" s="582"/>
      <c r="API4" s="582"/>
      <c r="APJ4" s="582"/>
      <c r="APK4" s="582"/>
      <c r="APL4" s="582"/>
      <c r="APM4" s="582"/>
      <c r="APN4" s="582"/>
      <c r="APO4" s="582"/>
      <c r="APP4" s="582"/>
      <c r="APQ4" s="582"/>
      <c r="APR4" s="582"/>
      <c r="APS4" s="582"/>
      <c r="APT4" s="582"/>
      <c r="APU4" s="582"/>
      <c r="APV4" s="582"/>
      <c r="APW4" s="582"/>
      <c r="APX4" s="582"/>
      <c r="APY4" s="582"/>
      <c r="APZ4" s="582"/>
      <c r="AQA4" s="582"/>
      <c r="AQB4" s="582"/>
      <c r="AQC4" s="582"/>
      <c r="AQD4" s="582"/>
      <c r="AQE4" s="582"/>
      <c r="AQF4" s="582"/>
      <c r="AQG4" s="582"/>
      <c r="AQH4" s="582"/>
      <c r="AQI4" s="582"/>
      <c r="AQJ4" s="582"/>
      <c r="AQK4" s="582"/>
      <c r="AQL4" s="582"/>
      <c r="AQM4" s="582"/>
      <c r="AQN4" s="582"/>
      <c r="AQO4" s="582"/>
      <c r="AQP4" s="582"/>
      <c r="AQQ4" s="582"/>
      <c r="AQR4" s="582"/>
      <c r="AQS4" s="582"/>
      <c r="AQT4" s="582"/>
      <c r="AQU4" s="582"/>
      <c r="AQV4" s="582"/>
      <c r="AQW4" s="582"/>
      <c r="AQX4" s="582"/>
      <c r="AQY4" s="582"/>
      <c r="AQZ4" s="582"/>
      <c r="ARA4" s="582"/>
      <c r="ARB4" s="582"/>
      <c r="ARC4" s="582"/>
      <c r="ARD4" s="582"/>
      <c r="ARE4" s="582"/>
      <c r="ARF4" s="582"/>
      <c r="ARG4" s="582"/>
      <c r="ARH4" s="582"/>
      <c r="ARI4" s="582"/>
      <c r="ARJ4" s="582"/>
      <c r="ARK4" s="582"/>
      <c r="ARL4" s="582"/>
      <c r="ARM4" s="582"/>
      <c r="ARN4" s="582"/>
      <c r="ARO4" s="582"/>
      <c r="ARP4" s="582"/>
      <c r="ARQ4" s="582"/>
      <c r="ARR4" s="582"/>
      <c r="ARS4" s="582"/>
      <c r="ART4" s="582"/>
      <c r="ARU4" s="582"/>
      <c r="ARV4" s="582"/>
      <c r="ARW4" s="582"/>
      <c r="ARX4" s="582"/>
      <c r="ARY4" s="582"/>
      <c r="ARZ4" s="582"/>
      <c r="ASA4" s="582"/>
      <c r="ASB4" s="582"/>
      <c r="ASC4" s="582"/>
      <c r="ASD4" s="582"/>
      <c r="ASE4" s="582"/>
      <c r="ASF4" s="582"/>
      <c r="ASG4" s="582"/>
      <c r="ASH4" s="582"/>
      <c r="ASI4" s="582"/>
      <c r="ASJ4" s="582"/>
      <c r="ASK4" s="582"/>
      <c r="ASL4" s="582"/>
      <c r="ASM4" s="582"/>
      <c r="ASN4" s="582"/>
      <c r="ASO4" s="582"/>
      <c r="ASP4" s="582"/>
      <c r="ASQ4" s="582"/>
      <c r="ASR4" s="582"/>
      <c r="ASS4" s="582"/>
      <c r="AST4" s="582"/>
      <c r="ASU4" s="582"/>
      <c r="ASV4" s="582"/>
      <c r="ASW4" s="582"/>
      <c r="ASX4" s="582"/>
      <c r="ASY4" s="582"/>
      <c r="ASZ4" s="582"/>
      <c r="ATA4" s="582"/>
      <c r="ATB4" s="582"/>
      <c r="ATC4" s="582"/>
      <c r="ATD4" s="582"/>
      <c r="ATE4" s="582"/>
      <c r="ATF4" s="582"/>
      <c r="ATG4" s="582"/>
      <c r="ATH4" s="582"/>
      <c r="ATI4" s="582"/>
      <c r="ATJ4" s="582"/>
      <c r="ATK4" s="582"/>
      <c r="ATL4" s="582"/>
      <c r="ATM4" s="582"/>
      <c r="ATN4" s="582"/>
      <c r="ATO4" s="582"/>
      <c r="ATP4" s="582"/>
      <c r="ATQ4" s="582"/>
      <c r="ATR4" s="582"/>
      <c r="ATS4" s="582"/>
      <c r="ATT4" s="582"/>
      <c r="ATU4" s="582"/>
      <c r="ATV4" s="582"/>
      <c r="ATW4" s="582"/>
      <c r="ATX4" s="582"/>
      <c r="ATY4" s="582"/>
      <c r="ATZ4" s="582"/>
      <c r="AUA4" s="582"/>
      <c r="AUB4" s="582"/>
      <c r="AUC4" s="582"/>
      <c r="AUD4" s="582"/>
      <c r="AUE4" s="582"/>
      <c r="AUF4" s="582"/>
      <c r="AUG4" s="582"/>
      <c r="AUH4" s="582"/>
      <c r="AUI4" s="582"/>
      <c r="AUJ4" s="582"/>
      <c r="AUK4" s="582"/>
      <c r="AUL4" s="582"/>
      <c r="AUM4" s="582"/>
      <c r="AUN4" s="582"/>
      <c r="AUO4" s="582"/>
      <c r="AUP4" s="582"/>
      <c r="AUQ4" s="582"/>
      <c r="AUR4" s="582"/>
      <c r="AUS4" s="582"/>
      <c r="AUT4" s="582"/>
      <c r="AUU4" s="582"/>
      <c r="AUV4" s="582"/>
      <c r="AUW4" s="582"/>
      <c r="AUX4" s="582"/>
      <c r="AUY4" s="582"/>
      <c r="AUZ4" s="582"/>
      <c r="AVA4" s="582"/>
      <c r="AVB4" s="582"/>
      <c r="AVC4" s="582"/>
      <c r="AVD4" s="582"/>
      <c r="AVE4" s="582"/>
      <c r="AVF4" s="582"/>
      <c r="AVG4" s="582"/>
      <c r="AVH4" s="582"/>
      <c r="AVI4" s="582"/>
      <c r="AVJ4" s="582"/>
      <c r="AVK4" s="582"/>
      <c r="AVL4" s="582"/>
      <c r="AVM4" s="582"/>
      <c r="AVN4" s="582"/>
      <c r="AVO4" s="582"/>
      <c r="AVP4" s="582"/>
      <c r="AVQ4" s="582"/>
      <c r="AVR4" s="582"/>
      <c r="AVS4" s="582"/>
      <c r="AVT4" s="582"/>
      <c r="AVU4" s="582"/>
      <c r="AVV4" s="582"/>
      <c r="AVW4" s="582"/>
      <c r="AVX4" s="582"/>
      <c r="AVY4" s="582"/>
      <c r="AVZ4" s="582"/>
      <c r="AWA4" s="582"/>
      <c r="AWB4" s="582"/>
      <c r="AWC4" s="582"/>
      <c r="AWD4" s="582"/>
      <c r="AWE4" s="582"/>
      <c r="AWF4" s="582"/>
      <c r="AWG4" s="582"/>
      <c r="AWH4" s="582"/>
      <c r="AWI4" s="582"/>
      <c r="AWJ4" s="582"/>
      <c r="AWK4" s="582"/>
      <c r="AWL4" s="582"/>
      <c r="AWM4" s="582"/>
      <c r="AWN4" s="582"/>
      <c r="AWO4" s="582"/>
      <c r="AWP4" s="582"/>
      <c r="AWQ4" s="582"/>
      <c r="AWR4" s="582"/>
      <c r="AWS4" s="582"/>
      <c r="AWT4" s="582"/>
      <c r="AWU4" s="582"/>
      <c r="AWV4" s="582"/>
      <c r="AWW4" s="582"/>
      <c r="AWX4" s="582"/>
      <c r="AWY4" s="582"/>
      <c r="AWZ4" s="582"/>
      <c r="AXA4" s="582"/>
      <c r="AXB4" s="582"/>
      <c r="AXC4" s="582"/>
      <c r="AXD4" s="582"/>
      <c r="AXE4" s="582"/>
      <c r="AXF4" s="582"/>
      <c r="AXG4" s="582"/>
      <c r="AXH4" s="582"/>
      <c r="AXI4" s="582"/>
      <c r="AXJ4" s="582"/>
      <c r="AXK4" s="582"/>
      <c r="AXL4" s="582"/>
      <c r="AXM4" s="582"/>
      <c r="AXN4" s="582"/>
      <c r="AXO4" s="582"/>
      <c r="AXP4" s="582"/>
      <c r="AXQ4" s="582"/>
      <c r="AXR4" s="582"/>
      <c r="AXS4" s="582"/>
      <c r="AXT4" s="582"/>
      <c r="AXU4" s="582"/>
      <c r="AXV4" s="582"/>
      <c r="AXW4" s="582"/>
      <c r="AXX4" s="582"/>
      <c r="AXY4" s="582"/>
      <c r="AXZ4" s="582"/>
      <c r="AYA4" s="582"/>
      <c r="AYB4" s="582"/>
      <c r="AYC4" s="582"/>
      <c r="AYD4" s="582"/>
      <c r="AYE4" s="582"/>
      <c r="AYF4" s="582"/>
      <c r="AYG4" s="582"/>
      <c r="AYH4" s="582"/>
      <c r="AYI4" s="582"/>
      <c r="AYJ4" s="582"/>
      <c r="AYK4" s="582"/>
      <c r="AYL4" s="582"/>
      <c r="AYM4" s="582"/>
      <c r="AYN4" s="582"/>
      <c r="AYO4" s="582"/>
      <c r="AYP4" s="582"/>
      <c r="AYQ4" s="582"/>
      <c r="AYR4" s="582"/>
      <c r="AYS4" s="582"/>
      <c r="AYT4" s="582"/>
      <c r="AYU4" s="582"/>
      <c r="AYV4" s="582"/>
      <c r="AYW4" s="582"/>
      <c r="AYX4" s="582"/>
      <c r="AYY4" s="582"/>
      <c r="AYZ4" s="582"/>
      <c r="AZA4" s="582"/>
      <c r="AZB4" s="582"/>
      <c r="AZC4" s="582"/>
      <c r="AZD4" s="582"/>
      <c r="AZE4" s="582"/>
      <c r="AZF4" s="582"/>
      <c r="AZG4" s="582"/>
      <c r="AZH4" s="582"/>
      <c r="AZI4" s="582"/>
      <c r="AZJ4" s="582"/>
      <c r="AZK4" s="582"/>
      <c r="AZL4" s="582"/>
      <c r="AZM4" s="582"/>
      <c r="AZN4" s="582"/>
      <c r="AZO4" s="582"/>
      <c r="AZP4" s="582"/>
      <c r="AZQ4" s="582"/>
      <c r="AZR4" s="582"/>
      <c r="AZS4" s="582"/>
      <c r="AZT4" s="582"/>
      <c r="AZU4" s="582"/>
      <c r="AZV4" s="582"/>
      <c r="AZW4" s="582"/>
      <c r="AZX4" s="582"/>
      <c r="AZY4" s="582"/>
      <c r="AZZ4" s="582"/>
      <c r="BAA4" s="582"/>
      <c r="BAB4" s="582"/>
      <c r="BAC4" s="582"/>
      <c r="BAD4" s="582"/>
      <c r="BAE4" s="582"/>
      <c r="BAF4" s="582"/>
      <c r="BAG4" s="582"/>
      <c r="BAH4" s="582"/>
      <c r="BAI4" s="582"/>
      <c r="BAJ4" s="582"/>
      <c r="BAK4" s="582"/>
      <c r="BAL4" s="582"/>
      <c r="BAM4" s="582"/>
      <c r="BAN4" s="582"/>
      <c r="BAO4" s="582"/>
      <c r="BAP4" s="582"/>
      <c r="BAQ4" s="582"/>
      <c r="BAR4" s="582"/>
      <c r="BAS4" s="582"/>
      <c r="BAT4" s="582"/>
      <c r="BAU4" s="582"/>
      <c r="BAV4" s="582"/>
      <c r="BAW4" s="582"/>
      <c r="BAX4" s="582"/>
      <c r="BAY4" s="582"/>
      <c r="BAZ4" s="582"/>
      <c r="BBA4" s="582"/>
      <c r="BBB4" s="582"/>
      <c r="BBC4" s="582"/>
      <c r="BBD4" s="582"/>
      <c r="BBE4" s="582"/>
      <c r="BBF4" s="582"/>
      <c r="BBG4" s="582"/>
      <c r="BBH4" s="582"/>
      <c r="BBI4" s="582"/>
      <c r="BBJ4" s="582"/>
      <c r="BBK4" s="582"/>
      <c r="BBL4" s="582"/>
      <c r="BBM4" s="582"/>
      <c r="BBN4" s="582"/>
      <c r="BBO4" s="582"/>
      <c r="BBP4" s="582"/>
      <c r="BBQ4" s="582"/>
      <c r="BBR4" s="582"/>
      <c r="BBS4" s="582"/>
      <c r="BBT4" s="582"/>
      <c r="BBU4" s="582"/>
      <c r="BBV4" s="582"/>
      <c r="BBW4" s="582"/>
      <c r="BBX4" s="582"/>
      <c r="BBY4" s="582"/>
      <c r="BBZ4" s="582"/>
      <c r="BCA4" s="582"/>
      <c r="BCB4" s="582"/>
      <c r="BCC4" s="582"/>
      <c r="BCD4" s="582"/>
      <c r="BCE4" s="582"/>
      <c r="BCF4" s="582"/>
      <c r="BCG4" s="582"/>
      <c r="BCH4" s="582"/>
      <c r="BCI4" s="582"/>
      <c r="BCJ4" s="582"/>
      <c r="BCK4" s="582"/>
      <c r="BCL4" s="582"/>
      <c r="BCM4" s="582"/>
      <c r="BCN4" s="582"/>
      <c r="BCO4" s="582"/>
      <c r="BCP4" s="582"/>
      <c r="BCQ4" s="582"/>
      <c r="BCR4" s="582"/>
      <c r="BCS4" s="582"/>
      <c r="BCT4" s="582"/>
      <c r="BCU4" s="582"/>
      <c r="BCV4" s="582"/>
      <c r="BCW4" s="582"/>
      <c r="BCX4" s="582"/>
      <c r="BCY4" s="582"/>
      <c r="BCZ4" s="582"/>
      <c r="BDA4" s="582"/>
      <c r="BDB4" s="582"/>
      <c r="BDC4" s="582"/>
      <c r="BDD4" s="582"/>
      <c r="BDE4" s="582"/>
      <c r="BDF4" s="582"/>
      <c r="BDG4" s="582"/>
      <c r="BDH4" s="582"/>
      <c r="BDI4" s="582"/>
      <c r="BDJ4" s="582"/>
      <c r="BDK4" s="582"/>
      <c r="BDL4" s="582"/>
      <c r="BDM4" s="582"/>
      <c r="BDN4" s="582"/>
      <c r="BDO4" s="582"/>
      <c r="BDP4" s="582"/>
      <c r="BDQ4" s="582"/>
      <c r="BDR4" s="582"/>
      <c r="BDS4" s="582"/>
      <c r="BDT4" s="582"/>
      <c r="BDU4" s="582"/>
      <c r="BDV4" s="582"/>
      <c r="BDW4" s="582"/>
      <c r="BDX4" s="582"/>
      <c r="BDY4" s="582"/>
      <c r="BDZ4" s="582"/>
      <c r="BEA4" s="582"/>
      <c r="BEB4" s="582"/>
      <c r="BEC4" s="582"/>
      <c r="BED4" s="582"/>
      <c r="BEE4" s="582"/>
      <c r="BEF4" s="582"/>
      <c r="BEG4" s="582"/>
      <c r="BEH4" s="582"/>
      <c r="BEI4" s="582"/>
      <c r="BEJ4" s="582"/>
      <c r="BEK4" s="582"/>
      <c r="BEL4" s="582"/>
      <c r="BEM4" s="582"/>
      <c r="BEN4" s="582"/>
      <c r="BEO4" s="582"/>
      <c r="BEP4" s="582"/>
      <c r="BEQ4" s="582"/>
      <c r="BER4" s="582"/>
      <c r="BES4" s="582"/>
      <c r="BET4" s="582"/>
      <c r="BEU4" s="582"/>
      <c r="BEV4" s="582"/>
      <c r="BEW4" s="582"/>
      <c r="BEX4" s="582"/>
      <c r="BEY4" s="582"/>
      <c r="BEZ4" s="582"/>
      <c r="BFA4" s="582"/>
      <c r="BFB4" s="582"/>
      <c r="BFC4" s="582"/>
      <c r="BFD4" s="582"/>
      <c r="BFE4" s="582"/>
      <c r="BFF4" s="582"/>
      <c r="BFG4" s="582"/>
      <c r="BFH4" s="582"/>
      <c r="BFI4" s="582"/>
      <c r="BFJ4" s="582"/>
      <c r="BFK4" s="582"/>
      <c r="BFL4" s="582"/>
      <c r="BFM4" s="582"/>
      <c r="BFN4" s="582"/>
      <c r="BFO4" s="582"/>
      <c r="BFP4" s="582"/>
      <c r="BFQ4" s="582"/>
      <c r="BFR4" s="582"/>
      <c r="BFS4" s="582"/>
      <c r="BFT4" s="582"/>
      <c r="BFU4" s="582"/>
      <c r="BFV4" s="582"/>
      <c r="BFW4" s="582"/>
      <c r="BFX4" s="582"/>
      <c r="BFY4" s="582"/>
      <c r="BFZ4" s="582"/>
      <c r="BGA4" s="582"/>
      <c r="BGB4" s="582"/>
      <c r="BGC4" s="582"/>
      <c r="BGD4" s="582"/>
      <c r="BGE4" s="582"/>
      <c r="BGF4" s="582"/>
      <c r="BGG4" s="582"/>
      <c r="BGH4" s="582"/>
      <c r="BGI4" s="582"/>
      <c r="BGJ4" s="582"/>
      <c r="BGK4" s="582"/>
      <c r="BGL4" s="582"/>
      <c r="BGM4" s="582"/>
      <c r="BGN4" s="582"/>
      <c r="BGO4" s="582"/>
      <c r="BGP4" s="582"/>
      <c r="BGQ4" s="582"/>
      <c r="BGR4" s="582"/>
      <c r="BGS4" s="582"/>
      <c r="BGT4" s="582"/>
      <c r="BGU4" s="582"/>
      <c r="BGV4" s="582"/>
      <c r="BGW4" s="582"/>
      <c r="BGX4" s="582"/>
      <c r="BGY4" s="582"/>
      <c r="BGZ4" s="582"/>
      <c r="BHA4" s="582"/>
      <c r="BHB4" s="582"/>
      <c r="BHC4" s="582"/>
      <c r="BHD4" s="582"/>
      <c r="BHE4" s="582"/>
      <c r="BHF4" s="582"/>
      <c r="BHG4" s="582"/>
      <c r="BHH4" s="582"/>
      <c r="BHI4" s="582"/>
      <c r="BHJ4" s="582"/>
      <c r="BHK4" s="582"/>
      <c r="BHL4" s="582"/>
      <c r="BHM4" s="582"/>
      <c r="BHN4" s="582"/>
      <c r="BHO4" s="582"/>
      <c r="BHP4" s="582"/>
      <c r="BHQ4" s="582"/>
      <c r="BHR4" s="582"/>
      <c r="BHS4" s="582"/>
      <c r="BHT4" s="582"/>
      <c r="BHU4" s="582"/>
      <c r="BHV4" s="582"/>
      <c r="BHW4" s="582"/>
      <c r="BHX4" s="582"/>
      <c r="BHY4" s="582"/>
      <c r="BHZ4" s="582"/>
      <c r="BIA4" s="582"/>
      <c r="BIB4" s="582"/>
      <c r="BIC4" s="582"/>
      <c r="BID4" s="582"/>
      <c r="BIE4" s="582"/>
      <c r="BIF4" s="582"/>
      <c r="BIG4" s="582"/>
      <c r="BIH4" s="582"/>
      <c r="BII4" s="582"/>
      <c r="BIJ4" s="582"/>
      <c r="BIK4" s="582"/>
      <c r="BIL4" s="582"/>
      <c r="BIM4" s="582"/>
      <c r="BIN4" s="582"/>
      <c r="BIO4" s="582"/>
      <c r="BIP4" s="582"/>
      <c r="BIQ4" s="582"/>
      <c r="BIR4" s="582"/>
      <c r="BIS4" s="582"/>
      <c r="BIT4" s="582"/>
      <c r="BIU4" s="582"/>
      <c r="BIV4" s="582"/>
      <c r="BIW4" s="582"/>
      <c r="BIX4" s="582"/>
      <c r="BIY4" s="582"/>
      <c r="BIZ4" s="582"/>
      <c r="BJA4" s="582"/>
      <c r="BJB4" s="582"/>
      <c r="BJC4" s="582"/>
      <c r="BJD4" s="582"/>
      <c r="BJE4" s="582"/>
      <c r="BJF4" s="582"/>
      <c r="BJG4" s="582"/>
      <c r="BJH4" s="582"/>
      <c r="BJI4" s="582"/>
      <c r="BJJ4" s="582"/>
      <c r="BJK4" s="582"/>
      <c r="BJL4" s="582"/>
      <c r="BJM4" s="582"/>
      <c r="BJN4" s="582"/>
      <c r="BJO4" s="582"/>
      <c r="BJP4" s="582"/>
      <c r="BJQ4" s="582"/>
      <c r="BJR4" s="582"/>
      <c r="BJS4" s="582"/>
      <c r="BJT4" s="582"/>
      <c r="BJU4" s="582"/>
      <c r="BJV4" s="582"/>
      <c r="BJW4" s="582"/>
      <c r="BJX4" s="582"/>
      <c r="BJY4" s="582"/>
      <c r="BJZ4" s="582"/>
      <c r="BKA4" s="582"/>
      <c r="BKB4" s="582"/>
      <c r="BKC4" s="582"/>
      <c r="BKD4" s="582"/>
      <c r="BKE4" s="582"/>
      <c r="BKF4" s="582"/>
      <c r="BKG4" s="582"/>
      <c r="BKH4" s="582"/>
      <c r="BKI4" s="582"/>
      <c r="BKJ4" s="582"/>
      <c r="BKK4" s="582"/>
      <c r="BKL4" s="582"/>
      <c r="BKM4" s="582"/>
      <c r="BKN4" s="582"/>
      <c r="BKO4" s="582"/>
      <c r="BKP4" s="582"/>
      <c r="BKQ4" s="582"/>
      <c r="BKR4" s="582"/>
      <c r="BKS4" s="582"/>
      <c r="BKT4" s="582"/>
      <c r="BKU4" s="582"/>
      <c r="BKV4" s="582"/>
      <c r="BKW4" s="582"/>
      <c r="BKX4" s="582"/>
      <c r="BKY4" s="582"/>
      <c r="BKZ4" s="582"/>
      <c r="BLA4" s="582"/>
      <c r="BLB4" s="582"/>
      <c r="BLC4" s="582"/>
      <c r="BLD4" s="582"/>
      <c r="BLE4" s="582"/>
      <c r="BLF4" s="582"/>
      <c r="BLG4" s="582"/>
      <c r="BLH4" s="582"/>
      <c r="BLI4" s="582"/>
      <c r="BLJ4" s="582"/>
      <c r="BLK4" s="582"/>
      <c r="BLL4" s="582"/>
      <c r="BLM4" s="582"/>
      <c r="BLN4" s="582"/>
      <c r="BLO4" s="582"/>
      <c r="BLP4" s="582"/>
      <c r="BLQ4" s="582"/>
      <c r="BLR4" s="582"/>
      <c r="BLS4" s="582"/>
      <c r="BLT4" s="582"/>
      <c r="BLU4" s="582"/>
      <c r="BLV4" s="582"/>
      <c r="BLW4" s="582"/>
      <c r="BLX4" s="582"/>
      <c r="BLY4" s="582"/>
      <c r="BLZ4" s="582"/>
      <c r="BMA4" s="582"/>
      <c r="BMB4" s="582"/>
      <c r="BMC4" s="582"/>
      <c r="BMD4" s="582"/>
      <c r="BME4" s="582"/>
      <c r="BMF4" s="582"/>
      <c r="BMG4" s="582"/>
      <c r="BMH4" s="582"/>
      <c r="BMI4" s="582"/>
      <c r="BMJ4" s="582"/>
      <c r="BMK4" s="582"/>
      <c r="BML4" s="582"/>
      <c r="BMM4" s="582"/>
      <c r="BMN4" s="582"/>
      <c r="BMO4" s="582"/>
      <c r="BMP4" s="582"/>
      <c r="BMQ4" s="582"/>
      <c r="BMR4" s="582"/>
      <c r="BMS4" s="582"/>
      <c r="BMT4" s="582"/>
      <c r="BMU4" s="582"/>
      <c r="BMV4" s="582"/>
      <c r="BMW4" s="582"/>
      <c r="BMX4" s="582"/>
      <c r="BMY4" s="582"/>
      <c r="BMZ4" s="582"/>
      <c r="BNA4" s="582"/>
      <c r="BNB4" s="582"/>
      <c r="BNC4" s="582"/>
      <c r="BND4" s="582"/>
      <c r="BNE4" s="582"/>
      <c r="BNF4" s="582"/>
      <c r="BNG4" s="582"/>
      <c r="BNH4" s="582"/>
      <c r="BNI4" s="582"/>
      <c r="BNJ4" s="582"/>
      <c r="BNK4" s="582"/>
      <c r="BNL4" s="582"/>
      <c r="BNM4" s="582"/>
      <c r="BNN4" s="582"/>
      <c r="BNO4" s="582"/>
      <c r="BNP4" s="582"/>
      <c r="BNQ4" s="582"/>
      <c r="BNR4" s="582"/>
      <c r="BNS4" s="582"/>
      <c r="BNT4" s="582"/>
      <c r="BNU4" s="582"/>
      <c r="BNV4" s="582"/>
      <c r="BNW4" s="582"/>
      <c r="BNX4" s="582"/>
      <c r="BNY4" s="582"/>
      <c r="BNZ4" s="582"/>
      <c r="BOA4" s="582"/>
      <c r="BOB4" s="582"/>
      <c r="BOC4" s="582"/>
      <c r="BOD4" s="582"/>
      <c r="BOE4" s="582"/>
      <c r="BOF4" s="582"/>
      <c r="BOG4" s="582"/>
      <c r="BOH4" s="582"/>
      <c r="BOI4" s="582"/>
      <c r="BOJ4" s="582"/>
      <c r="BOK4" s="582"/>
      <c r="BOL4" s="582"/>
      <c r="BOM4" s="582"/>
      <c r="BON4" s="582"/>
      <c r="BOO4" s="582"/>
      <c r="BOP4" s="582"/>
      <c r="BOQ4" s="582"/>
      <c r="BOR4" s="582"/>
      <c r="BOS4" s="582"/>
      <c r="BOT4" s="582"/>
      <c r="BOU4" s="582"/>
      <c r="BOV4" s="582"/>
      <c r="BOW4" s="582"/>
      <c r="BOX4" s="582"/>
      <c r="BOY4" s="582"/>
      <c r="BOZ4" s="582"/>
      <c r="BPA4" s="582"/>
      <c r="BPB4" s="582"/>
      <c r="BPC4" s="582"/>
      <c r="BPD4" s="582"/>
      <c r="BPE4" s="582"/>
      <c r="BPF4" s="582"/>
      <c r="BPG4" s="582"/>
      <c r="BPH4" s="582"/>
      <c r="BPI4" s="582"/>
      <c r="BPJ4" s="582"/>
      <c r="BPK4" s="582"/>
      <c r="BPL4" s="582"/>
      <c r="BPM4" s="582"/>
      <c r="BPN4" s="582"/>
      <c r="BPO4" s="582"/>
      <c r="BPP4" s="582"/>
      <c r="BPQ4" s="582"/>
      <c r="BPR4" s="582"/>
      <c r="BPS4" s="582"/>
      <c r="BPT4" s="582"/>
      <c r="BPU4" s="582"/>
      <c r="BPV4" s="582"/>
      <c r="BPW4" s="582"/>
      <c r="BPX4" s="582"/>
      <c r="BPY4" s="582"/>
      <c r="BPZ4" s="582"/>
      <c r="BQA4" s="582"/>
      <c r="BQB4" s="582"/>
      <c r="BQC4" s="582"/>
      <c r="BQD4" s="582"/>
      <c r="BQE4" s="582"/>
      <c r="BQF4" s="582"/>
      <c r="BQG4" s="582"/>
      <c r="BQH4" s="582"/>
      <c r="BQI4" s="582"/>
      <c r="BQJ4" s="582"/>
      <c r="BQK4" s="582"/>
      <c r="BQL4" s="582"/>
      <c r="BQM4" s="582"/>
      <c r="BQN4" s="582"/>
      <c r="BQO4" s="582"/>
      <c r="BQP4" s="582"/>
      <c r="BQQ4" s="582"/>
      <c r="BQR4" s="582"/>
      <c r="BQS4" s="582"/>
      <c r="BQT4" s="582"/>
      <c r="BQU4" s="582"/>
      <c r="BQV4" s="582"/>
      <c r="BQW4" s="582"/>
      <c r="BQX4" s="582"/>
      <c r="BQY4" s="582"/>
      <c r="BQZ4" s="582"/>
      <c r="BRA4" s="582"/>
      <c r="BRB4" s="582"/>
      <c r="BRC4" s="582"/>
      <c r="BRD4" s="582"/>
      <c r="BRE4" s="582"/>
      <c r="BRF4" s="582"/>
      <c r="BRG4" s="582"/>
      <c r="BRH4" s="582"/>
      <c r="BRI4" s="582"/>
      <c r="BRJ4" s="582"/>
      <c r="BRK4" s="582"/>
      <c r="BRL4" s="582"/>
      <c r="BRM4" s="582"/>
      <c r="BRN4" s="582"/>
      <c r="BRO4" s="582"/>
      <c r="BRP4" s="582"/>
      <c r="BRQ4" s="582"/>
      <c r="BRR4" s="582"/>
      <c r="BRS4" s="582"/>
      <c r="BRT4" s="582"/>
      <c r="BRU4" s="582"/>
      <c r="BRV4" s="582"/>
      <c r="BRW4" s="582"/>
      <c r="BRX4" s="582"/>
      <c r="BRY4" s="582"/>
      <c r="BRZ4" s="582"/>
      <c r="BSA4" s="582"/>
      <c r="BSB4" s="582"/>
      <c r="BSC4" s="582"/>
      <c r="BSD4" s="582"/>
      <c r="BSE4" s="582"/>
      <c r="BSF4" s="582"/>
      <c r="BSG4" s="582"/>
      <c r="BSH4" s="582"/>
      <c r="BSI4" s="582"/>
      <c r="BSJ4" s="582"/>
      <c r="BSK4" s="582"/>
      <c r="BSL4" s="582"/>
      <c r="BSM4" s="582"/>
      <c r="BSN4" s="582"/>
      <c r="BSO4" s="582"/>
      <c r="BSP4" s="582"/>
      <c r="BSQ4" s="582"/>
      <c r="BSR4" s="582"/>
      <c r="BSS4" s="582"/>
      <c r="BST4" s="582"/>
      <c r="BSU4" s="582"/>
      <c r="BSV4" s="582"/>
      <c r="BSW4" s="582"/>
      <c r="BSX4" s="582"/>
      <c r="BSY4" s="582"/>
      <c r="BSZ4" s="582"/>
      <c r="BTA4" s="582"/>
      <c r="BTB4" s="582"/>
      <c r="BTC4" s="582"/>
      <c r="BTD4" s="582"/>
      <c r="BTE4" s="582"/>
      <c r="BTF4" s="582"/>
      <c r="BTG4" s="582"/>
      <c r="BTH4" s="582"/>
      <c r="BTI4" s="582"/>
      <c r="BTJ4" s="582"/>
      <c r="BTK4" s="582"/>
      <c r="BTL4" s="582"/>
      <c r="BTM4" s="582"/>
      <c r="BTN4" s="582"/>
      <c r="BTO4" s="582"/>
      <c r="BTP4" s="582"/>
      <c r="BTQ4" s="582"/>
      <c r="BTR4" s="582"/>
      <c r="BTS4" s="582"/>
      <c r="BTT4" s="582"/>
      <c r="BTU4" s="582"/>
      <c r="BTV4" s="582"/>
      <c r="BTW4" s="582"/>
      <c r="BTX4" s="582"/>
      <c r="BTY4" s="582"/>
      <c r="BTZ4" s="582"/>
      <c r="BUA4" s="582"/>
      <c r="BUB4" s="582"/>
      <c r="BUC4" s="582"/>
      <c r="BUD4" s="582"/>
      <c r="BUE4" s="582"/>
      <c r="BUF4" s="582"/>
      <c r="BUG4" s="582"/>
      <c r="BUH4" s="582"/>
      <c r="BUI4" s="582"/>
      <c r="BUJ4" s="582"/>
      <c r="BUK4" s="582"/>
      <c r="BUL4" s="582"/>
      <c r="BUM4" s="582"/>
      <c r="BUN4" s="582"/>
      <c r="BUO4" s="582"/>
      <c r="BUP4" s="582"/>
      <c r="BUQ4" s="582"/>
      <c r="BUR4" s="582"/>
      <c r="BUS4" s="582"/>
      <c r="BUT4" s="582"/>
      <c r="BUU4" s="582"/>
      <c r="BUV4" s="582"/>
      <c r="BUW4" s="582"/>
      <c r="BUX4" s="582"/>
      <c r="BUY4" s="582"/>
      <c r="BUZ4" s="582"/>
      <c r="BVA4" s="582"/>
      <c r="BVB4" s="582"/>
      <c r="BVC4" s="582"/>
      <c r="BVD4" s="582"/>
      <c r="BVE4" s="582"/>
      <c r="BVF4" s="582"/>
      <c r="BVG4" s="582"/>
      <c r="BVH4" s="582"/>
      <c r="BVI4" s="582"/>
      <c r="BVJ4" s="582"/>
      <c r="BVK4" s="582"/>
      <c r="BVL4" s="582"/>
      <c r="BVM4" s="582"/>
      <c r="BVN4" s="582"/>
      <c r="BVO4" s="582"/>
      <c r="BVP4" s="582"/>
      <c r="BVQ4" s="582"/>
      <c r="BVR4" s="582"/>
      <c r="BVS4" s="582"/>
      <c r="BVT4" s="582"/>
      <c r="BVU4" s="582"/>
      <c r="BVV4" s="582"/>
      <c r="BVW4" s="582"/>
      <c r="BVX4" s="582"/>
      <c r="BVY4" s="582"/>
      <c r="BVZ4" s="582"/>
      <c r="BWA4" s="582"/>
      <c r="BWB4" s="582"/>
      <c r="BWC4" s="582"/>
      <c r="BWD4" s="582"/>
      <c r="BWE4" s="582"/>
      <c r="BWF4" s="582"/>
      <c r="BWG4" s="582"/>
      <c r="BWH4" s="582"/>
      <c r="BWI4" s="582"/>
      <c r="BWJ4" s="582"/>
      <c r="BWK4" s="582"/>
      <c r="BWL4" s="582"/>
      <c r="BWM4" s="582"/>
      <c r="BWN4" s="582"/>
      <c r="BWO4" s="582"/>
      <c r="BWP4" s="582"/>
      <c r="BWQ4" s="582"/>
      <c r="BWR4" s="582"/>
      <c r="BWS4" s="582"/>
      <c r="BWT4" s="582"/>
      <c r="BWU4" s="582"/>
      <c r="BWV4" s="582"/>
      <c r="BWW4" s="582"/>
      <c r="BWX4" s="582"/>
      <c r="BWY4" s="582"/>
      <c r="BWZ4" s="582"/>
      <c r="BXA4" s="582"/>
      <c r="BXB4" s="582"/>
      <c r="BXC4" s="582"/>
      <c r="BXD4" s="582"/>
      <c r="BXE4" s="582"/>
      <c r="BXF4" s="582"/>
      <c r="BXG4" s="582"/>
      <c r="BXH4" s="582"/>
      <c r="BXI4" s="582"/>
      <c r="BXJ4" s="582"/>
      <c r="BXK4" s="582"/>
      <c r="BXL4" s="582"/>
      <c r="BXM4" s="582"/>
      <c r="BXN4" s="582"/>
      <c r="BXO4" s="582"/>
      <c r="BXP4" s="582"/>
      <c r="BXQ4" s="582"/>
      <c r="BXR4" s="582"/>
      <c r="BXS4" s="582"/>
      <c r="BXT4" s="582"/>
      <c r="BXU4" s="582"/>
      <c r="BXV4" s="582"/>
      <c r="BXW4" s="582"/>
      <c r="BXX4" s="582"/>
      <c r="BXY4" s="582"/>
      <c r="BXZ4" s="582"/>
      <c r="BYA4" s="582"/>
      <c r="BYB4" s="582"/>
      <c r="BYC4" s="582"/>
      <c r="BYD4" s="582"/>
      <c r="BYE4" s="582"/>
      <c r="BYF4" s="582"/>
      <c r="BYG4" s="582"/>
      <c r="BYH4" s="582"/>
      <c r="BYI4" s="582"/>
      <c r="BYJ4" s="582"/>
      <c r="BYK4" s="582"/>
      <c r="BYL4" s="582"/>
      <c r="BYM4" s="582"/>
      <c r="BYN4" s="582"/>
      <c r="BYO4" s="582"/>
      <c r="BYP4" s="582"/>
      <c r="BYQ4" s="582"/>
      <c r="BYR4" s="582"/>
      <c r="BYS4" s="582"/>
      <c r="BYT4" s="582"/>
      <c r="BYU4" s="582"/>
      <c r="BYV4" s="582"/>
      <c r="BYW4" s="582"/>
      <c r="BYX4" s="582"/>
      <c r="BYY4" s="582"/>
      <c r="BYZ4" s="582"/>
      <c r="BZA4" s="582"/>
      <c r="BZB4" s="582"/>
      <c r="BZC4" s="582"/>
      <c r="BZD4" s="582"/>
      <c r="BZE4" s="582"/>
      <c r="BZF4" s="582"/>
      <c r="BZG4" s="582"/>
      <c r="BZH4" s="582"/>
      <c r="BZI4" s="582"/>
      <c r="BZJ4" s="582"/>
      <c r="BZK4" s="582"/>
      <c r="BZL4" s="582"/>
      <c r="BZM4" s="582"/>
      <c r="BZN4" s="582"/>
      <c r="BZO4" s="582"/>
      <c r="BZP4" s="582"/>
      <c r="BZQ4" s="582"/>
      <c r="BZR4" s="582"/>
      <c r="BZS4" s="582"/>
      <c r="BZT4" s="582"/>
      <c r="BZU4" s="582"/>
      <c r="BZV4" s="582"/>
      <c r="BZW4" s="582"/>
      <c r="BZX4" s="582"/>
      <c r="BZY4" s="582"/>
      <c r="BZZ4" s="582"/>
      <c r="CAA4" s="582"/>
      <c r="CAB4" s="582"/>
      <c r="CAC4" s="582"/>
      <c r="CAD4" s="582"/>
      <c r="CAE4" s="582"/>
      <c r="CAF4" s="582"/>
      <c r="CAG4" s="582"/>
      <c r="CAH4" s="582"/>
      <c r="CAI4" s="582"/>
      <c r="CAJ4" s="582"/>
      <c r="CAK4" s="582"/>
      <c r="CAL4" s="582"/>
      <c r="CAM4" s="582"/>
      <c r="CAN4" s="582"/>
      <c r="CAO4" s="582"/>
      <c r="CAP4" s="582"/>
      <c r="CAQ4" s="582"/>
      <c r="CAR4" s="582"/>
      <c r="CAS4" s="582"/>
      <c r="CAT4" s="582"/>
      <c r="CAU4" s="582"/>
      <c r="CAV4" s="582"/>
      <c r="CAW4" s="582"/>
      <c r="CAX4" s="582"/>
      <c r="CAY4" s="582"/>
      <c r="CAZ4" s="582"/>
      <c r="CBA4" s="582"/>
      <c r="CBB4" s="582"/>
      <c r="CBC4" s="582"/>
      <c r="CBD4" s="582"/>
      <c r="CBE4" s="582"/>
      <c r="CBF4" s="582"/>
      <c r="CBG4" s="582"/>
      <c r="CBH4" s="582"/>
      <c r="CBI4" s="582"/>
      <c r="CBJ4" s="582"/>
      <c r="CBK4" s="582"/>
      <c r="CBL4" s="582"/>
      <c r="CBM4" s="582"/>
      <c r="CBN4" s="582"/>
      <c r="CBO4" s="582"/>
      <c r="CBP4" s="582"/>
      <c r="CBQ4" s="582"/>
      <c r="CBR4" s="582"/>
      <c r="CBS4" s="582"/>
      <c r="CBT4" s="582"/>
      <c r="CBU4" s="582"/>
      <c r="CBV4" s="582"/>
      <c r="CBW4" s="582"/>
      <c r="CBX4" s="582"/>
      <c r="CBY4" s="582"/>
      <c r="CBZ4" s="582"/>
      <c r="CCA4" s="582"/>
      <c r="CCB4" s="582"/>
      <c r="CCC4" s="582"/>
      <c r="CCD4" s="582"/>
      <c r="CCE4" s="582"/>
      <c r="CCF4" s="582"/>
      <c r="CCG4" s="582"/>
      <c r="CCH4" s="582"/>
      <c r="CCI4" s="582"/>
      <c r="CCJ4" s="582"/>
      <c r="CCK4" s="582"/>
      <c r="CCL4" s="582"/>
      <c r="CCM4" s="582"/>
      <c r="CCN4" s="582"/>
      <c r="CCO4" s="582"/>
      <c r="CCP4" s="582"/>
      <c r="CCQ4" s="582"/>
      <c r="CCR4" s="582"/>
      <c r="CCS4" s="582"/>
      <c r="CCT4" s="582"/>
      <c r="CCU4" s="582"/>
      <c r="CCV4" s="582"/>
      <c r="CCW4" s="582"/>
      <c r="CCX4" s="582"/>
      <c r="CCY4" s="582"/>
      <c r="CCZ4" s="582"/>
      <c r="CDA4" s="582"/>
      <c r="CDB4" s="582"/>
      <c r="CDC4" s="582"/>
      <c r="CDD4" s="582"/>
      <c r="CDE4" s="582"/>
      <c r="CDF4" s="582"/>
      <c r="CDG4" s="582"/>
      <c r="CDH4" s="582"/>
      <c r="CDI4" s="582"/>
      <c r="CDJ4" s="582"/>
      <c r="CDK4" s="582"/>
      <c r="CDL4" s="582"/>
      <c r="CDM4" s="582"/>
      <c r="CDN4" s="582"/>
      <c r="CDO4" s="582"/>
      <c r="CDP4" s="582"/>
      <c r="CDQ4" s="582"/>
      <c r="CDR4" s="582"/>
      <c r="CDS4" s="582"/>
      <c r="CDT4" s="582"/>
      <c r="CDU4" s="582"/>
      <c r="CDV4" s="582"/>
      <c r="CDW4" s="582"/>
      <c r="CDX4" s="582"/>
      <c r="CDY4" s="582"/>
      <c r="CDZ4" s="582"/>
      <c r="CEA4" s="582"/>
      <c r="CEB4" s="582"/>
      <c r="CEC4" s="582"/>
      <c r="CED4" s="582"/>
      <c r="CEE4" s="582"/>
      <c r="CEF4" s="582"/>
      <c r="CEG4" s="582"/>
      <c r="CEH4" s="582"/>
      <c r="CEI4" s="582"/>
      <c r="CEJ4" s="582"/>
      <c r="CEK4" s="582"/>
      <c r="CEL4" s="582"/>
      <c r="CEM4" s="582"/>
      <c r="CEN4" s="582"/>
      <c r="CEO4" s="582"/>
      <c r="CEP4" s="582"/>
      <c r="CEQ4" s="582"/>
      <c r="CER4" s="582"/>
      <c r="CES4" s="582"/>
      <c r="CET4" s="582"/>
      <c r="CEU4" s="582"/>
      <c r="CEV4" s="582"/>
      <c r="CEW4" s="582"/>
      <c r="CEX4" s="582"/>
      <c r="CEY4" s="582"/>
      <c r="CEZ4" s="582"/>
      <c r="CFA4" s="582"/>
      <c r="CFB4" s="582"/>
      <c r="CFC4" s="582"/>
      <c r="CFD4" s="582"/>
      <c r="CFE4" s="582"/>
      <c r="CFF4" s="582"/>
      <c r="CFG4" s="582"/>
      <c r="CFH4" s="582"/>
      <c r="CFI4" s="582"/>
      <c r="CFJ4" s="582"/>
      <c r="CFK4" s="582"/>
      <c r="CFL4" s="582"/>
      <c r="CFM4" s="582"/>
      <c r="CFN4" s="582"/>
      <c r="CFO4" s="582"/>
      <c r="CFP4" s="582"/>
      <c r="CFQ4" s="582"/>
      <c r="CFR4" s="582"/>
      <c r="CFS4" s="582"/>
      <c r="CFT4" s="582"/>
      <c r="CFU4" s="582"/>
      <c r="CFV4" s="582"/>
      <c r="CFW4" s="582"/>
      <c r="CFX4" s="582"/>
      <c r="CFY4" s="582"/>
      <c r="CFZ4" s="582"/>
      <c r="CGA4" s="582"/>
      <c r="CGB4" s="582"/>
      <c r="CGC4" s="582"/>
      <c r="CGD4" s="582"/>
      <c r="CGE4" s="582"/>
      <c r="CGF4" s="582"/>
      <c r="CGG4" s="582"/>
      <c r="CGH4" s="582"/>
      <c r="CGI4" s="582"/>
      <c r="CGJ4" s="582"/>
      <c r="CGK4" s="582"/>
      <c r="CGL4" s="582"/>
      <c r="CGM4" s="582"/>
      <c r="CGN4" s="582"/>
      <c r="CGO4" s="582"/>
      <c r="CGP4" s="582"/>
      <c r="CGQ4" s="582"/>
      <c r="CGR4" s="582"/>
      <c r="CGS4" s="582"/>
      <c r="CGT4" s="582"/>
      <c r="CGU4" s="582"/>
      <c r="CGV4" s="582"/>
      <c r="CGW4" s="582"/>
      <c r="CGX4" s="582"/>
      <c r="CGY4" s="582"/>
      <c r="CGZ4" s="582"/>
      <c r="CHA4" s="582"/>
      <c r="CHB4" s="582"/>
      <c r="CHC4" s="582"/>
      <c r="CHD4" s="582"/>
      <c r="CHE4" s="582"/>
      <c r="CHF4" s="582"/>
      <c r="CHG4" s="582"/>
      <c r="CHH4" s="582"/>
      <c r="CHI4" s="582"/>
      <c r="CHJ4" s="582"/>
      <c r="CHK4" s="582"/>
      <c r="CHL4" s="582"/>
      <c r="CHM4" s="582"/>
      <c r="CHN4" s="582"/>
      <c r="CHO4" s="582"/>
      <c r="CHP4" s="582"/>
      <c r="CHQ4" s="582"/>
      <c r="CHR4" s="582"/>
      <c r="CHS4" s="582"/>
      <c r="CHT4" s="582"/>
      <c r="CHU4" s="582"/>
      <c r="CHV4" s="582"/>
      <c r="CHW4" s="582"/>
      <c r="CHX4" s="582"/>
      <c r="CHY4" s="582"/>
      <c r="CHZ4" s="582"/>
      <c r="CIA4" s="582"/>
      <c r="CIB4" s="582"/>
      <c r="CIC4" s="582"/>
      <c r="CID4" s="582"/>
      <c r="CIE4" s="582"/>
      <c r="CIF4" s="582"/>
      <c r="CIG4" s="582"/>
      <c r="CIH4" s="582"/>
      <c r="CII4" s="582"/>
      <c r="CIJ4" s="582"/>
      <c r="CIK4" s="582"/>
      <c r="CIL4" s="582"/>
      <c r="CIM4" s="582"/>
      <c r="CIN4" s="582"/>
      <c r="CIO4" s="582"/>
      <c r="CIP4" s="582"/>
      <c r="CIQ4" s="582"/>
      <c r="CIR4" s="582"/>
      <c r="CIS4" s="582"/>
      <c r="CIT4" s="582"/>
      <c r="CIU4" s="582"/>
      <c r="CIV4" s="582"/>
      <c r="CIW4" s="582"/>
      <c r="CIX4" s="582"/>
      <c r="CIY4" s="582"/>
      <c r="CIZ4" s="582"/>
      <c r="CJA4" s="582"/>
      <c r="CJB4" s="582"/>
      <c r="CJC4" s="582"/>
      <c r="CJD4" s="582"/>
      <c r="CJE4" s="582"/>
      <c r="CJF4" s="582"/>
      <c r="CJG4" s="582"/>
      <c r="CJH4" s="582"/>
      <c r="CJI4" s="582"/>
      <c r="CJJ4" s="582"/>
      <c r="CJK4" s="582"/>
      <c r="CJL4" s="582"/>
      <c r="CJM4" s="582"/>
      <c r="CJN4" s="582"/>
      <c r="CJO4" s="582"/>
      <c r="CJP4" s="582"/>
      <c r="CJQ4" s="582"/>
      <c r="CJR4" s="582"/>
      <c r="CJS4" s="582"/>
      <c r="CJT4" s="582"/>
      <c r="CJU4" s="582"/>
      <c r="CJV4" s="582"/>
      <c r="CJW4" s="582"/>
      <c r="CJX4" s="582"/>
      <c r="CJY4" s="582"/>
      <c r="CJZ4" s="582"/>
      <c r="CKA4" s="582"/>
      <c r="CKB4" s="582"/>
      <c r="CKC4" s="582"/>
      <c r="CKD4" s="582"/>
      <c r="CKE4" s="582"/>
      <c r="CKF4" s="582"/>
      <c r="CKG4" s="582"/>
      <c r="CKH4" s="582"/>
      <c r="CKI4" s="582"/>
      <c r="CKJ4" s="582"/>
      <c r="CKK4" s="582"/>
      <c r="CKL4" s="582"/>
      <c r="CKM4" s="582"/>
      <c r="CKN4" s="582"/>
      <c r="CKO4" s="582"/>
      <c r="CKP4" s="582"/>
      <c r="CKQ4" s="582"/>
      <c r="CKR4" s="582"/>
      <c r="CKS4" s="582"/>
      <c r="CKT4" s="582"/>
      <c r="CKU4" s="582"/>
      <c r="CKV4" s="582"/>
      <c r="CKW4" s="582"/>
      <c r="CKX4" s="582"/>
      <c r="CKY4" s="582"/>
      <c r="CKZ4" s="582"/>
      <c r="CLA4" s="582"/>
      <c r="CLB4" s="582"/>
      <c r="CLC4" s="582"/>
      <c r="CLD4" s="582"/>
      <c r="CLE4" s="582"/>
      <c r="CLF4" s="582"/>
      <c r="CLG4" s="582"/>
      <c r="CLH4" s="582"/>
      <c r="CLI4" s="582"/>
      <c r="CLJ4" s="582"/>
      <c r="CLK4" s="582"/>
      <c r="CLL4" s="582"/>
      <c r="CLM4" s="582"/>
      <c r="CLN4" s="582"/>
      <c r="CLO4" s="582"/>
      <c r="CLP4" s="582"/>
      <c r="CLQ4" s="582"/>
      <c r="CLR4" s="582"/>
      <c r="CLS4" s="582"/>
      <c r="CLT4" s="582"/>
      <c r="CLU4" s="582"/>
      <c r="CLV4" s="582"/>
      <c r="CLW4" s="582"/>
      <c r="CLX4" s="582"/>
      <c r="CLY4" s="582"/>
      <c r="CLZ4" s="582"/>
      <c r="CMA4" s="582"/>
      <c r="CMB4" s="582"/>
      <c r="CMC4" s="582"/>
      <c r="CMD4" s="582"/>
      <c r="CME4" s="582"/>
      <c r="CMF4" s="582"/>
      <c r="CMG4" s="582"/>
      <c r="CMH4" s="582"/>
      <c r="CMI4" s="582"/>
      <c r="CMJ4" s="582"/>
      <c r="CMK4" s="582"/>
      <c r="CML4" s="582"/>
      <c r="CMM4" s="582"/>
      <c r="CMN4" s="582"/>
      <c r="CMO4" s="582"/>
      <c r="CMP4" s="582"/>
      <c r="CMQ4" s="582"/>
      <c r="CMR4" s="582"/>
      <c r="CMS4" s="582"/>
      <c r="CMT4" s="582"/>
      <c r="CMU4" s="582"/>
      <c r="CMV4" s="582"/>
      <c r="CMW4" s="582"/>
      <c r="CMX4" s="582"/>
      <c r="CMY4" s="582"/>
      <c r="CMZ4" s="582"/>
      <c r="CNA4" s="582"/>
      <c r="CNB4" s="582"/>
      <c r="CNC4" s="582"/>
      <c r="CND4" s="582"/>
      <c r="CNE4" s="582"/>
      <c r="CNF4" s="582"/>
      <c r="CNG4" s="582"/>
      <c r="CNH4" s="582"/>
      <c r="CNI4" s="582"/>
      <c r="CNJ4" s="582"/>
      <c r="CNK4" s="582"/>
      <c r="CNL4" s="582"/>
      <c r="CNM4" s="582"/>
      <c r="CNN4" s="582"/>
      <c r="CNO4" s="582"/>
      <c r="CNP4" s="582"/>
      <c r="CNQ4" s="582"/>
      <c r="CNR4" s="582"/>
      <c r="CNS4" s="582"/>
      <c r="CNT4" s="582"/>
      <c r="CNU4" s="582"/>
      <c r="CNV4" s="582"/>
      <c r="CNW4" s="582"/>
      <c r="CNX4" s="582"/>
      <c r="CNY4" s="582"/>
      <c r="CNZ4" s="582"/>
      <c r="COA4" s="582"/>
      <c r="COB4" s="582"/>
      <c r="COC4" s="582"/>
      <c r="COD4" s="582"/>
      <c r="COE4" s="582"/>
      <c r="COF4" s="582"/>
      <c r="COG4" s="582"/>
      <c r="COH4" s="582"/>
      <c r="COI4" s="582"/>
      <c r="COJ4" s="582"/>
      <c r="COK4" s="582"/>
      <c r="COL4" s="582"/>
      <c r="COM4" s="582"/>
      <c r="CON4" s="582"/>
      <c r="COO4" s="582"/>
      <c r="COP4" s="582"/>
      <c r="COQ4" s="582"/>
      <c r="COR4" s="582"/>
      <c r="COS4" s="582"/>
      <c r="COT4" s="582"/>
      <c r="COU4" s="582"/>
      <c r="COV4" s="582"/>
      <c r="COW4" s="582"/>
      <c r="COX4" s="582"/>
      <c r="COY4" s="582"/>
      <c r="COZ4" s="582"/>
      <c r="CPA4" s="582"/>
      <c r="CPB4" s="582"/>
      <c r="CPC4" s="582"/>
      <c r="CPD4" s="582"/>
      <c r="CPE4" s="582"/>
      <c r="CPF4" s="582"/>
      <c r="CPG4" s="582"/>
      <c r="CPH4" s="582"/>
      <c r="CPI4" s="582"/>
      <c r="CPJ4" s="582"/>
      <c r="CPK4" s="582"/>
      <c r="CPL4" s="582"/>
      <c r="CPM4" s="582"/>
      <c r="CPN4" s="582"/>
      <c r="CPO4" s="582"/>
      <c r="CPP4" s="582"/>
      <c r="CPQ4" s="582"/>
      <c r="CPR4" s="582"/>
      <c r="CPS4" s="582"/>
      <c r="CPT4" s="582"/>
      <c r="CPU4" s="582"/>
      <c r="CPV4" s="582"/>
      <c r="CPW4" s="582"/>
      <c r="CPX4" s="582"/>
      <c r="CPY4" s="582"/>
      <c r="CPZ4" s="582"/>
      <c r="CQA4" s="582"/>
      <c r="CQB4" s="582"/>
      <c r="CQC4" s="582"/>
      <c r="CQD4" s="582"/>
      <c r="CQE4" s="582"/>
      <c r="CQF4" s="582"/>
      <c r="CQG4" s="582"/>
      <c r="CQH4" s="582"/>
      <c r="CQI4" s="582"/>
      <c r="CQJ4" s="582"/>
      <c r="CQK4" s="582"/>
      <c r="CQL4" s="582"/>
      <c r="CQM4" s="582"/>
      <c r="CQN4" s="582"/>
      <c r="CQO4" s="582"/>
      <c r="CQP4" s="582"/>
      <c r="CQQ4" s="582"/>
      <c r="CQR4" s="582"/>
      <c r="CQS4" s="582"/>
      <c r="CQT4" s="582"/>
      <c r="CQU4" s="582"/>
      <c r="CQV4" s="582"/>
      <c r="CQW4" s="582"/>
      <c r="CQX4" s="582"/>
      <c r="CQY4" s="582"/>
      <c r="CQZ4" s="582"/>
      <c r="CRA4" s="582"/>
      <c r="CRB4" s="582"/>
      <c r="CRC4" s="582"/>
      <c r="CRD4" s="582"/>
      <c r="CRE4" s="582"/>
      <c r="CRF4" s="582"/>
      <c r="CRG4" s="582"/>
      <c r="CRH4" s="582"/>
      <c r="CRI4" s="582"/>
      <c r="CRJ4" s="582"/>
      <c r="CRK4" s="582"/>
      <c r="CRL4" s="582"/>
      <c r="CRM4" s="582"/>
      <c r="CRN4" s="582"/>
      <c r="CRO4" s="582"/>
      <c r="CRP4" s="582"/>
      <c r="CRQ4" s="582"/>
      <c r="CRR4" s="582"/>
      <c r="CRS4" s="582"/>
      <c r="CRT4" s="582"/>
      <c r="CRU4" s="582"/>
      <c r="CRV4" s="582"/>
      <c r="CRW4" s="582"/>
      <c r="CRX4" s="582"/>
      <c r="CRY4" s="582"/>
      <c r="CRZ4" s="582"/>
      <c r="CSA4" s="582"/>
      <c r="CSB4" s="582"/>
      <c r="CSC4" s="582"/>
      <c r="CSD4" s="582"/>
      <c r="CSE4" s="582"/>
      <c r="CSF4" s="582"/>
      <c r="CSG4" s="582"/>
      <c r="CSH4" s="582"/>
      <c r="CSI4" s="582"/>
      <c r="CSJ4" s="582"/>
      <c r="CSK4" s="582"/>
      <c r="CSL4" s="582"/>
      <c r="CSM4" s="582"/>
      <c r="CSN4" s="582"/>
      <c r="CSO4" s="582"/>
      <c r="CSP4" s="582"/>
      <c r="CSQ4" s="582"/>
      <c r="CSR4" s="582"/>
      <c r="CSS4" s="582"/>
      <c r="CST4" s="582"/>
      <c r="CSU4" s="582"/>
      <c r="CSV4" s="582"/>
      <c r="CSW4" s="582"/>
      <c r="CSX4" s="582"/>
      <c r="CSY4" s="582"/>
      <c r="CSZ4" s="582"/>
      <c r="CTA4" s="582"/>
      <c r="CTB4" s="582"/>
      <c r="CTC4" s="582"/>
      <c r="CTD4" s="582"/>
      <c r="CTE4" s="582"/>
      <c r="CTF4" s="582"/>
      <c r="CTG4" s="582"/>
      <c r="CTH4" s="582"/>
      <c r="CTI4" s="582"/>
      <c r="CTJ4" s="582"/>
      <c r="CTK4" s="582"/>
      <c r="CTL4" s="582"/>
      <c r="CTM4" s="582"/>
      <c r="CTN4" s="582"/>
      <c r="CTO4" s="582"/>
      <c r="CTP4" s="582"/>
      <c r="CTQ4" s="582"/>
      <c r="CTR4" s="582"/>
      <c r="CTS4" s="582"/>
      <c r="CTT4" s="582"/>
      <c r="CTU4" s="582"/>
      <c r="CTV4" s="582"/>
      <c r="CTW4" s="582"/>
      <c r="CTX4" s="582"/>
      <c r="CTY4" s="582"/>
      <c r="CTZ4" s="582"/>
      <c r="CUA4" s="582"/>
      <c r="CUB4" s="582"/>
      <c r="CUC4" s="582"/>
      <c r="CUD4" s="582"/>
      <c r="CUE4" s="582"/>
      <c r="CUF4" s="582"/>
      <c r="CUG4" s="582"/>
      <c r="CUH4" s="582"/>
      <c r="CUI4" s="582"/>
      <c r="CUJ4" s="582"/>
      <c r="CUK4" s="582"/>
      <c r="CUL4" s="582"/>
      <c r="CUM4" s="582"/>
      <c r="CUN4" s="582"/>
      <c r="CUO4" s="582"/>
      <c r="CUP4" s="582"/>
      <c r="CUQ4" s="582"/>
      <c r="CUR4" s="582"/>
      <c r="CUS4" s="582"/>
      <c r="CUT4" s="582"/>
      <c r="CUU4" s="582"/>
      <c r="CUV4" s="582"/>
      <c r="CUW4" s="582"/>
      <c r="CUX4" s="582"/>
      <c r="CUY4" s="582"/>
      <c r="CUZ4" s="582"/>
      <c r="CVA4" s="582"/>
      <c r="CVB4" s="582"/>
      <c r="CVC4" s="582"/>
      <c r="CVD4" s="582"/>
      <c r="CVE4" s="582"/>
      <c r="CVF4" s="582"/>
      <c r="CVG4" s="582"/>
      <c r="CVH4" s="582"/>
      <c r="CVI4" s="582"/>
      <c r="CVJ4" s="582"/>
      <c r="CVK4" s="582"/>
      <c r="CVL4" s="582"/>
      <c r="CVM4" s="582"/>
      <c r="CVN4" s="582"/>
      <c r="CVO4" s="582"/>
      <c r="CVP4" s="582"/>
      <c r="CVQ4" s="582"/>
      <c r="CVR4" s="582"/>
      <c r="CVS4" s="582"/>
      <c r="CVT4" s="582"/>
      <c r="CVU4" s="582"/>
      <c r="CVV4" s="582"/>
      <c r="CVW4" s="582"/>
      <c r="CVX4" s="582"/>
      <c r="CVY4" s="582"/>
      <c r="CVZ4" s="582"/>
      <c r="CWA4" s="582"/>
      <c r="CWB4" s="582"/>
      <c r="CWC4" s="582"/>
      <c r="CWD4" s="582"/>
      <c r="CWE4" s="582"/>
      <c r="CWF4" s="582"/>
      <c r="CWG4" s="582"/>
      <c r="CWH4" s="582"/>
      <c r="CWI4" s="582"/>
      <c r="CWJ4" s="582"/>
      <c r="CWK4" s="582"/>
      <c r="CWL4" s="582"/>
      <c r="CWM4" s="582"/>
      <c r="CWN4" s="582"/>
      <c r="CWO4" s="582"/>
      <c r="CWP4" s="582"/>
      <c r="CWQ4" s="582"/>
      <c r="CWR4" s="582"/>
      <c r="CWS4" s="582"/>
      <c r="CWT4" s="582"/>
      <c r="CWU4" s="582"/>
      <c r="CWV4" s="582"/>
      <c r="CWW4" s="582"/>
      <c r="CWX4" s="582"/>
      <c r="CWY4" s="582"/>
      <c r="CWZ4" s="582"/>
      <c r="CXA4" s="582"/>
      <c r="CXB4" s="582"/>
      <c r="CXC4" s="582"/>
      <c r="CXD4" s="582"/>
      <c r="CXE4" s="582"/>
      <c r="CXF4" s="582"/>
      <c r="CXG4" s="582"/>
      <c r="CXH4" s="582"/>
      <c r="CXI4" s="582"/>
      <c r="CXJ4" s="582"/>
      <c r="CXK4" s="582"/>
      <c r="CXL4" s="582"/>
      <c r="CXM4" s="582"/>
      <c r="CXN4" s="582"/>
      <c r="CXO4" s="582"/>
      <c r="CXP4" s="582"/>
      <c r="CXQ4" s="582"/>
      <c r="CXR4" s="582"/>
      <c r="CXS4" s="582"/>
      <c r="CXT4" s="582"/>
      <c r="CXU4" s="582"/>
      <c r="CXV4" s="582"/>
      <c r="CXW4" s="582"/>
      <c r="CXX4" s="582"/>
      <c r="CXY4" s="582"/>
      <c r="CXZ4" s="582"/>
      <c r="CYA4" s="582"/>
      <c r="CYB4" s="582"/>
      <c r="CYC4" s="582"/>
      <c r="CYD4" s="582"/>
      <c r="CYE4" s="582"/>
      <c r="CYF4" s="582"/>
      <c r="CYG4" s="582"/>
      <c r="CYH4" s="582"/>
      <c r="CYI4" s="582"/>
      <c r="CYJ4" s="582"/>
      <c r="CYK4" s="582"/>
      <c r="CYL4" s="582"/>
      <c r="CYM4" s="582"/>
      <c r="CYN4" s="582"/>
      <c r="CYO4" s="582"/>
      <c r="CYP4" s="582"/>
      <c r="CYQ4" s="582"/>
      <c r="CYR4" s="582"/>
      <c r="CYS4" s="582"/>
      <c r="CYT4" s="582"/>
      <c r="CYU4" s="582"/>
      <c r="CYV4" s="582"/>
      <c r="CYW4" s="582"/>
      <c r="CYX4" s="582"/>
      <c r="CYY4" s="582"/>
      <c r="CYZ4" s="582"/>
      <c r="CZA4" s="582"/>
      <c r="CZB4" s="582"/>
      <c r="CZC4" s="582"/>
      <c r="CZD4" s="582"/>
      <c r="CZE4" s="582"/>
      <c r="CZF4" s="582"/>
      <c r="CZG4" s="582"/>
      <c r="CZH4" s="582"/>
      <c r="CZI4" s="582"/>
      <c r="CZJ4" s="582"/>
      <c r="CZK4" s="582"/>
      <c r="CZL4" s="582"/>
      <c r="CZM4" s="582"/>
      <c r="CZN4" s="582"/>
      <c r="CZO4" s="582"/>
      <c r="CZP4" s="582"/>
      <c r="CZQ4" s="582"/>
      <c r="CZR4" s="582"/>
      <c r="CZS4" s="582"/>
      <c r="CZT4" s="582"/>
      <c r="CZU4" s="582"/>
      <c r="CZV4" s="582"/>
      <c r="CZW4" s="582"/>
      <c r="CZX4" s="582"/>
      <c r="CZY4" s="582"/>
      <c r="CZZ4" s="582"/>
      <c r="DAA4" s="582"/>
      <c r="DAB4" s="582"/>
      <c r="DAC4" s="582"/>
      <c r="DAD4" s="582"/>
      <c r="DAE4" s="582"/>
      <c r="DAF4" s="582"/>
      <c r="DAG4" s="582"/>
      <c r="DAH4" s="582"/>
      <c r="DAI4" s="582"/>
      <c r="DAJ4" s="582"/>
      <c r="DAK4" s="582"/>
      <c r="DAL4" s="582"/>
      <c r="DAM4" s="582"/>
      <c r="DAN4" s="582"/>
      <c r="DAO4" s="582"/>
      <c r="DAP4" s="582"/>
      <c r="DAQ4" s="582"/>
      <c r="DAR4" s="582"/>
      <c r="DAS4" s="582"/>
      <c r="DAT4" s="582"/>
      <c r="DAU4" s="582"/>
      <c r="DAV4" s="582"/>
      <c r="DAW4" s="582"/>
      <c r="DAX4" s="582"/>
      <c r="DAY4" s="582"/>
      <c r="DAZ4" s="582"/>
      <c r="DBA4" s="582"/>
      <c r="DBB4" s="582"/>
      <c r="DBC4" s="582"/>
      <c r="DBD4" s="582"/>
      <c r="DBE4" s="582"/>
      <c r="DBF4" s="582"/>
      <c r="DBG4" s="582"/>
      <c r="DBH4" s="582"/>
      <c r="DBI4" s="582"/>
      <c r="DBJ4" s="582"/>
      <c r="DBK4" s="582"/>
      <c r="DBL4" s="582"/>
      <c r="DBM4" s="582"/>
      <c r="DBN4" s="582"/>
      <c r="DBO4" s="582"/>
      <c r="DBP4" s="582"/>
      <c r="DBQ4" s="582"/>
      <c r="DBR4" s="582"/>
      <c r="DBS4" s="582"/>
      <c r="DBT4" s="582"/>
      <c r="DBU4" s="582"/>
      <c r="DBV4" s="582"/>
      <c r="DBW4" s="582"/>
      <c r="DBX4" s="582"/>
      <c r="DBY4" s="582"/>
      <c r="DBZ4" s="582"/>
      <c r="DCA4" s="582"/>
      <c r="DCB4" s="582"/>
      <c r="DCC4" s="582"/>
      <c r="DCD4" s="582"/>
      <c r="DCE4" s="582"/>
      <c r="DCF4" s="582"/>
      <c r="DCG4" s="582"/>
      <c r="DCH4" s="582"/>
      <c r="DCI4" s="582"/>
      <c r="DCJ4" s="582"/>
      <c r="DCK4" s="582"/>
      <c r="DCL4" s="582"/>
      <c r="DCM4" s="582"/>
      <c r="DCN4" s="582"/>
      <c r="DCO4" s="582"/>
      <c r="DCP4" s="582"/>
      <c r="DCQ4" s="582"/>
      <c r="DCR4" s="582"/>
      <c r="DCS4" s="582"/>
      <c r="DCT4" s="582"/>
      <c r="DCU4" s="582"/>
      <c r="DCV4" s="582"/>
      <c r="DCW4" s="582"/>
      <c r="DCX4" s="582"/>
      <c r="DCY4" s="582"/>
      <c r="DCZ4" s="582"/>
      <c r="DDA4" s="582"/>
      <c r="DDB4" s="582"/>
      <c r="DDC4" s="582"/>
      <c r="DDD4" s="582"/>
      <c r="DDE4" s="582"/>
      <c r="DDF4" s="582"/>
      <c r="DDG4" s="582"/>
      <c r="DDH4" s="582"/>
      <c r="DDI4" s="582"/>
      <c r="DDJ4" s="582"/>
      <c r="DDK4" s="582"/>
      <c r="DDL4" s="582"/>
      <c r="DDM4" s="582"/>
      <c r="DDN4" s="582"/>
      <c r="DDO4" s="582"/>
      <c r="DDP4" s="582"/>
      <c r="DDQ4" s="582"/>
      <c r="DDR4" s="582"/>
      <c r="DDS4" s="582"/>
      <c r="DDT4" s="582"/>
      <c r="DDU4" s="582"/>
      <c r="DDV4" s="582"/>
      <c r="DDW4" s="582"/>
      <c r="DDX4" s="582"/>
      <c r="DDY4" s="582"/>
      <c r="DDZ4" s="582"/>
      <c r="DEA4" s="582"/>
      <c r="DEB4" s="582"/>
      <c r="DEC4" s="582"/>
      <c r="DED4" s="582"/>
      <c r="DEE4" s="582"/>
      <c r="DEF4" s="582"/>
      <c r="DEG4" s="582"/>
      <c r="DEH4" s="582"/>
      <c r="DEI4" s="582"/>
      <c r="DEJ4" s="582"/>
      <c r="DEK4" s="582"/>
      <c r="DEL4" s="582"/>
      <c r="DEM4" s="582"/>
      <c r="DEN4" s="582"/>
      <c r="DEO4" s="582"/>
      <c r="DEP4" s="582"/>
      <c r="DEQ4" s="582"/>
      <c r="DER4" s="582"/>
      <c r="DES4" s="582"/>
      <c r="DET4" s="582"/>
      <c r="DEU4" s="582"/>
      <c r="DEV4" s="582"/>
      <c r="DEW4" s="582"/>
      <c r="DEX4" s="582"/>
      <c r="DEY4" s="582"/>
      <c r="DEZ4" s="582"/>
      <c r="DFA4" s="582"/>
      <c r="DFB4" s="582"/>
      <c r="DFC4" s="582"/>
      <c r="DFD4" s="582"/>
      <c r="DFE4" s="582"/>
      <c r="DFF4" s="582"/>
      <c r="DFG4" s="582"/>
      <c r="DFH4" s="582"/>
      <c r="DFI4" s="582"/>
      <c r="DFJ4" s="582"/>
      <c r="DFK4" s="582"/>
      <c r="DFL4" s="582"/>
      <c r="DFM4" s="582"/>
      <c r="DFN4" s="582"/>
      <c r="DFO4" s="582"/>
      <c r="DFP4" s="582"/>
      <c r="DFQ4" s="582"/>
      <c r="DFR4" s="582"/>
      <c r="DFS4" s="582"/>
      <c r="DFT4" s="582"/>
      <c r="DFU4" s="582"/>
      <c r="DFV4" s="582"/>
      <c r="DFW4" s="582"/>
      <c r="DFX4" s="582"/>
      <c r="DFY4" s="582"/>
      <c r="DFZ4" s="582"/>
      <c r="DGA4" s="582"/>
      <c r="DGB4" s="582"/>
      <c r="DGC4" s="582"/>
      <c r="DGD4" s="582"/>
      <c r="DGE4" s="582"/>
      <c r="DGF4" s="582"/>
      <c r="DGG4" s="582"/>
      <c r="DGH4" s="582"/>
      <c r="DGI4" s="582"/>
      <c r="DGJ4" s="582"/>
      <c r="DGK4" s="582"/>
      <c r="DGL4" s="582"/>
      <c r="DGM4" s="582"/>
      <c r="DGN4" s="582"/>
      <c r="DGO4" s="582"/>
      <c r="DGP4" s="582"/>
      <c r="DGQ4" s="582"/>
      <c r="DGR4" s="582"/>
      <c r="DGS4" s="582"/>
      <c r="DGT4" s="582"/>
      <c r="DGU4" s="582"/>
      <c r="DGV4" s="582"/>
      <c r="DGW4" s="582"/>
      <c r="DGX4" s="582"/>
      <c r="DGY4" s="582"/>
      <c r="DGZ4" s="582"/>
      <c r="DHA4" s="582"/>
      <c r="DHB4" s="582"/>
      <c r="DHC4" s="582"/>
      <c r="DHD4" s="582"/>
      <c r="DHE4" s="582"/>
      <c r="DHF4" s="582"/>
      <c r="DHG4" s="582"/>
      <c r="DHH4" s="582"/>
      <c r="DHI4" s="582"/>
      <c r="DHJ4" s="582"/>
      <c r="DHK4" s="582"/>
      <c r="DHL4" s="582"/>
      <c r="DHM4" s="582"/>
      <c r="DHN4" s="582"/>
      <c r="DHO4" s="582"/>
      <c r="DHP4" s="582"/>
      <c r="DHQ4" s="582"/>
      <c r="DHR4" s="582"/>
      <c r="DHS4" s="582"/>
      <c r="DHT4" s="582"/>
      <c r="DHU4" s="582"/>
      <c r="DHV4" s="582"/>
      <c r="DHW4" s="582"/>
      <c r="DHX4" s="582"/>
      <c r="DHY4" s="582"/>
      <c r="DHZ4" s="582"/>
      <c r="DIA4" s="582"/>
      <c r="DIB4" s="582"/>
      <c r="DIC4" s="582"/>
      <c r="DID4" s="582"/>
      <c r="DIE4" s="582"/>
      <c r="DIF4" s="582"/>
      <c r="DIG4" s="582"/>
      <c r="DIH4" s="582"/>
      <c r="DII4" s="582"/>
      <c r="DIJ4" s="582"/>
      <c r="DIK4" s="582"/>
      <c r="DIL4" s="582"/>
      <c r="DIM4" s="582"/>
      <c r="DIN4" s="582"/>
      <c r="DIO4" s="582"/>
      <c r="DIP4" s="582"/>
      <c r="DIQ4" s="582"/>
      <c r="DIR4" s="582"/>
      <c r="DIS4" s="582"/>
      <c r="DIT4" s="582"/>
      <c r="DIU4" s="582"/>
      <c r="DIV4" s="582"/>
      <c r="DIW4" s="582"/>
      <c r="DIX4" s="582"/>
      <c r="DIY4" s="582"/>
      <c r="DIZ4" s="582"/>
      <c r="DJA4" s="582"/>
      <c r="DJB4" s="582"/>
      <c r="DJC4" s="582"/>
      <c r="DJD4" s="582"/>
      <c r="DJE4" s="582"/>
      <c r="DJF4" s="582"/>
      <c r="DJG4" s="582"/>
      <c r="DJH4" s="582"/>
      <c r="DJI4" s="582"/>
      <c r="DJJ4" s="582"/>
      <c r="DJK4" s="582"/>
      <c r="DJL4" s="582"/>
      <c r="DJM4" s="582"/>
      <c r="DJN4" s="582"/>
      <c r="DJO4" s="582"/>
      <c r="DJP4" s="582"/>
      <c r="DJQ4" s="582"/>
      <c r="DJR4" s="582"/>
      <c r="DJS4" s="582"/>
      <c r="DJT4" s="582"/>
      <c r="DJU4" s="582"/>
      <c r="DJV4" s="582"/>
      <c r="DJW4" s="582"/>
      <c r="DJX4" s="582"/>
      <c r="DJY4" s="582"/>
      <c r="DJZ4" s="582"/>
      <c r="DKA4" s="582"/>
      <c r="DKB4" s="582"/>
      <c r="DKC4" s="582"/>
      <c r="DKD4" s="582"/>
      <c r="DKE4" s="582"/>
      <c r="DKF4" s="582"/>
      <c r="DKG4" s="582"/>
      <c r="DKH4" s="582"/>
      <c r="DKI4" s="582"/>
      <c r="DKJ4" s="582"/>
      <c r="DKK4" s="582"/>
      <c r="DKL4" s="582"/>
      <c r="DKM4" s="582"/>
      <c r="DKN4" s="582"/>
      <c r="DKO4" s="582"/>
      <c r="DKP4" s="582"/>
      <c r="DKQ4" s="582"/>
      <c r="DKR4" s="582"/>
      <c r="DKS4" s="582"/>
      <c r="DKT4" s="582"/>
      <c r="DKU4" s="582"/>
      <c r="DKV4" s="582"/>
      <c r="DKW4" s="582"/>
      <c r="DKX4" s="582"/>
      <c r="DKY4" s="582"/>
      <c r="DKZ4" s="582"/>
      <c r="DLA4" s="582"/>
      <c r="DLB4" s="582"/>
      <c r="DLC4" s="582"/>
      <c r="DLD4" s="582"/>
      <c r="DLE4" s="582"/>
      <c r="DLF4" s="582"/>
      <c r="DLG4" s="582"/>
      <c r="DLH4" s="582"/>
      <c r="DLI4" s="582"/>
      <c r="DLJ4" s="582"/>
      <c r="DLK4" s="582"/>
      <c r="DLL4" s="582"/>
      <c r="DLM4" s="582"/>
      <c r="DLN4" s="582"/>
      <c r="DLO4" s="582"/>
      <c r="DLP4" s="582"/>
      <c r="DLQ4" s="582"/>
      <c r="DLR4" s="582"/>
      <c r="DLS4" s="582"/>
      <c r="DLT4" s="582"/>
      <c r="DLU4" s="582"/>
      <c r="DLV4" s="582"/>
      <c r="DLW4" s="582"/>
      <c r="DLX4" s="582"/>
      <c r="DLY4" s="582"/>
      <c r="DLZ4" s="582"/>
      <c r="DMA4" s="582"/>
      <c r="DMB4" s="582"/>
      <c r="DMC4" s="582"/>
      <c r="DMD4" s="582"/>
      <c r="DME4" s="582"/>
      <c r="DMF4" s="582"/>
      <c r="DMG4" s="582"/>
      <c r="DMH4" s="582"/>
      <c r="DMI4" s="582"/>
      <c r="DMJ4" s="582"/>
      <c r="DMK4" s="582"/>
      <c r="DML4" s="582"/>
      <c r="DMM4" s="582"/>
      <c r="DMN4" s="582"/>
      <c r="DMO4" s="582"/>
      <c r="DMP4" s="582"/>
      <c r="DMQ4" s="582"/>
      <c r="DMR4" s="582"/>
      <c r="DMS4" s="582"/>
      <c r="DMT4" s="582"/>
      <c r="DMU4" s="582"/>
      <c r="DMV4" s="582"/>
      <c r="DMW4" s="582"/>
      <c r="DMX4" s="582"/>
      <c r="DMY4" s="582"/>
      <c r="DMZ4" s="582"/>
      <c r="DNA4" s="582"/>
      <c r="DNB4" s="582"/>
      <c r="DNC4" s="582"/>
      <c r="DND4" s="582"/>
      <c r="DNE4" s="582"/>
      <c r="DNF4" s="582"/>
      <c r="DNG4" s="582"/>
      <c r="DNH4" s="582"/>
      <c r="DNI4" s="582"/>
      <c r="DNJ4" s="582"/>
      <c r="DNK4" s="582"/>
      <c r="DNL4" s="582"/>
      <c r="DNM4" s="582"/>
      <c r="DNN4" s="582"/>
      <c r="DNO4" s="582"/>
      <c r="DNP4" s="582"/>
      <c r="DNQ4" s="582"/>
      <c r="DNR4" s="582"/>
      <c r="DNS4" s="582"/>
      <c r="DNT4" s="582"/>
      <c r="DNU4" s="582"/>
      <c r="DNV4" s="582"/>
      <c r="DNW4" s="582"/>
      <c r="DNX4" s="582"/>
      <c r="DNY4" s="582"/>
      <c r="DNZ4" s="582"/>
      <c r="DOA4" s="582"/>
      <c r="DOB4" s="582"/>
      <c r="DOC4" s="582"/>
      <c r="DOD4" s="582"/>
      <c r="DOE4" s="582"/>
      <c r="DOF4" s="582"/>
      <c r="DOG4" s="582"/>
      <c r="DOH4" s="582"/>
      <c r="DOI4" s="582"/>
      <c r="DOJ4" s="582"/>
      <c r="DOK4" s="582"/>
      <c r="DOL4" s="582"/>
      <c r="DOM4" s="582"/>
      <c r="DON4" s="582"/>
      <c r="DOO4" s="582"/>
      <c r="DOP4" s="582"/>
      <c r="DOQ4" s="582"/>
      <c r="DOR4" s="582"/>
      <c r="DOS4" s="582"/>
      <c r="DOT4" s="582"/>
      <c r="DOU4" s="582"/>
      <c r="DOV4" s="582"/>
      <c r="DOW4" s="582"/>
      <c r="DOX4" s="582"/>
      <c r="DOY4" s="582"/>
      <c r="DOZ4" s="582"/>
      <c r="DPA4" s="582"/>
      <c r="DPB4" s="582"/>
      <c r="DPC4" s="582"/>
      <c r="DPD4" s="582"/>
      <c r="DPE4" s="582"/>
      <c r="DPF4" s="582"/>
      <c r="DPG4" s="582"/>
      <c r="DPH4" s="582"/>
      <c r="DPI4" s="582"/>
      <c r="DPJ4" s="582"/>
      <c r="DPK4" s="582"/>
      <c r="DPL4" s="582"/>
      <c r="DPM4" s="582"/>
      <c r="DPN4" s="582"/>
      <c r="DPO4" s="582"/>
      <c r="DPP4" s="582"/>
      <c r="DPQ4" s="582"/>
      <c r="DPR4" s="582"/>
      <c r="DPS4" s="582"/>
      <c r="DPT4" s="582"/>
      <c r="DPU4" s="582"/>
      <c r="DPV4" s="582"/>
      <c r="DPW4" s="582"/>
      <c r="DPX4" s="582"/>
      <c r="DPY4" s="582"/>
      <c r="DPZ4" s="582"/>
      <c r="DQA4" s="582"/>
      <c r="DQB4" s="582"/>
      <c r="DQC4" s="582"/>
      <c r="DQD4" s="582"/>
      <c r="DQE4" s="582"/>
      <c r="DQF4" s="582"/>
      <c r="DQG4" s="582"/>
      <c r="DQH4" s="582"/>
      <c r="DQI4" s="582"/>
      <c r="DQJ4" s="582"/>
      <c r="DQK4" s="582"/>
      <c r="DQL4" s="582"/>
      <c r="DQM4" s="582"/>
      <c r="DQN4" s="582"/>
      <c r="DQO4" s="582"/>
      <c r="DQP4" s="582"/>
      <c r="DQQ4" s="582"/>
      <c r="DQR4" s="582"/>
      <c r="DQS4" s="582"/>
      <c r="DQT4" s="582"/>
      <c r="DQU4" s="582"/>
      <c r="DQV4" s="582"/>
      <c r="DQW4" s="582"/>
      <c r="DQX4" s="582"/>
      <c r="DQY4" s="582"/>
      <c r="DQZ4" s="582"/>
      <c r="DRA4" s="582"/>
      <c r="DRB4" s="582"/>
      <c r="DRC4" s="582"/>
      <c r="DRD4" s="582"/>
      <c r="DRE4" s="582"/>
      <c r="DRF4" s="582"/>
      <c r="DRG4" s="582"/>
      <c r="DRH4" s="582"/>
      <c r="DRI4" s="582"/>
      <c r="DRJ4" s="582"/>
      <c r="DRK4" s="582"/>
      <c r="DRL4" s="582"/>
      <c r="DRM4" s="582"/>
      <c r="DRN4" s="582"/>
      <c r="DRO4" s="582"/>
      <c r="DRP4" s="582"/>
      <c r="DRQ4" s="582"/>
      <c r="DRR4" s="582"/>
      <c r="DRS4" s="582"/>
      <c r="DRT4" s="582"/>
      <c r="DRU4" s="582"/>
      <c r="DRV4" s="582"/>
      <c r="DRW4" s="582"/>
      <c r="DRX4" s="582"/>
      <c r="DRY4" s="582"/>
      <c r="DRZ4" s="582"/>
      <c r="DSA4" s="582"/>
      <c r="DSB4" s="582"/>
      <c r="DSC4" s="582"/>
      <c r="DSD4" s="582"/>
      <c r="DSE4" s="582"/>
      <c r="DSF4" s="582"/>
      <c r="DSG4" s="582"/>
      <c r="DSH4" s="582"/>
      <c r="DSI4" s="582"/>
      <c r="DSJ4" s="582"/>
      <c r="DSK4" s="582"/>
      <c r="DSL4" s="582"/>
      <c r="DSM4" s="582"/>
      <c r="DSN4" s="582"/>
      <c r="DSO4" s="582"/>
      <c r="DSP4" s="582"/>
      <c r="DSQ4" s="582"/>
      <c r="DSR4" s="582"/>
      <c r="DSS4" s="582"/>
      <c r="DST4" s="582"/>
      <c r="DSU4" s="582"/>
      <c r="DSV4" s="582"/>
      <c r="DSW4" s="582"/>
      <c r="DSX4" s="582"/>
      <c r="DSY4" s="582"/>
      <c r="DSZ4" s="582"/>
      <c r="DTA4" s="582"/>
      <c r="DTB4" s="582"/>
      <c r="DTC4" s="582"/>
      <c r="DTD4" s="582"/>
      <c r="DTE4" s="582"/>
      <c r="DTF4" s="582"/>
      <c r="DTG4" s="582"/>
      <c r="DTH4" s="582"/>
      <c r="DTI4" s="582"/>
      <c r="DTJ4" s="582"/>
      <c r="DTK4" s="582"/>
      <c r="DTL4" s="582"/>
      <c r="DTM4" s="582"/>
      <c r="DTN4" s="582"/>
      <c r="DTO4" s="582"/>
      <c r="DTP4" s="582"/>
      <c r="DTQ4" s="582"/>
      <c r="DTR4" s="582"/>
      <c r="DTS4" s="582"/>
      <c r="DTT4" s="582"/>
      <c r="DTU4" s="582"/>
      <c r="DTV4" s="582"/>
      <c r="DTW4" s="582"/>
      <c r="DTX4" s="582"/>
      <c r="DTY4" s="582"/>
      <c r="DTZ4" s="582"/>
      <c r="DUA4" s="582"/>
      <c r="DUB4" s="582"/>
      <c r="DUC4" s="582"/>
      <c r="DUD4" s="582"/>
      <c r="DUE4" s="582"/>
      <c r="DUF4" s="582"/>
      <c r="DUG4" s="582"/>
      <c r="DUH4" s="582"/>
      <c r="DUI4" s="582"/>
      <c r="DUJ4" s="582"/>
      <c r="DUK4" s="582"/>
      <c r="DUL4" s="582"/>
      <c r="DUM4" s="582"/>
      <c r="DUN4" s="582"/>
      <c r="DUO4" s="582"/>
      <c r="DUP4" s="582"/>
      <c r="DUQ4" s="582"/>
      <c r="DUR4" s="582"/>
      <c r="DUS4" s="582"/>
      <c r="DUT4" s="582"/>
      <c r="DUU4" s="582"/>
      <c r="DUV4" s="582"/>
      <c r="DUW4" s="582"/>
      <c r="DUX4" s="582"/>
      <c r="DUY4" s="582"/>
      <c r="DUZ4" s="582"/>
      <c r="DVA4" s="582"/>
      <c r="DVB4" s="582"/>
      <c r="DVC4" s="582"/>
      <c r="DVD4" s="582"/>
      <c r="DVE4" s="582"/>
      <c r="DVF4" s="582"/>
      <c r="DVG4" s="582"/>
      <c r="DVH4" s="582"/>
      <c r="DVI4" s="582"/>
      <c r="DVJ4" s="582"/>
      <c r="DVK4" s="582"/>
      <c r="DVL4" s="582"/>
      <c r="DVM4" s="582"/>
      <c r="DVN4" s="582"/>
      <c r="DVO4" s="582"/>
      <c r="DVP4" s="582"/>
      <c r="DVQ4" s="582"/>
      <c r="DVR4" s="582"/>
      <c r="DVS4" s="582"/>
      <c r="DVT4" s="582"/>
      <c r="DVU4" s="582"/>
      <c r="DVV4" s="582"/>
      <c r="DVW4" s="582"/>
      <c r="DVX4" s="582"/>
      <c r="DVY4" s="582"/>
      <c r="DVZ4" s="582"/>
      <c r="DWA4" s="582"/>
      <c r="DWB4" s="582"/>
      <c r="DWC4" s="582"/>
      <c r="DWD4" s="582"/>
      <c r="DWE4" s="582"/>
      <c r="DWF4" s="582"/>
      <c r="DWG4" s="582"/>
      <c r="DWH4" s="582"/>
      <c r="DWI4" s="582"/>
      <c r="DWJ4" s="582"/>
      <c r="DWK4" s="582"/>
      <c r="DWL4" s="582"/>
      <c r="DWM4" s="582"/>
      <c r="DWN4" s="582"/>
      <c r="DWO4" s="582"/>
      <c r="DWP4" s="582"/>
      <c r="DWQ4" s="582"/>
      <c r="DWR4" s="582"/>
      <c r="DWS4" s="582"/>
      <c r="DWT4" s="582"/>
      <c r="DWU4" s="582"/>
      <c r="DWV4" s="582"/>
      <c r="DWW4" s="582"/>
      <c r="DWX4" s="582"/>
      <c r="DWY4" s="582"/>
      <c r="DWZ4" s="582"/>
      <c r="DXA4" s="582"/>
      <c r="DXB4" s="582"/>
      <c r="DXC4" s="582"/>
      <c r="DXD4" s="582"/>
      <c r="DXE4" s="582"/>
      <c r="DXF4" s="582"/>
      <c r="DXG4" s="582"/>
      <c r="DXH4" s="582"/>
      <c r="DXI4" s="582"/>
      <c r="DXJ4" s="582"/>
      <c r="DXK4" s="582"/>
      <c r="DXL4" s="582"/>
      <c r="DXM4" s="582"/>
      <c r="DXN4" s="582"/>
      <c r="DXO4" s="582"/>
      <c r="DXP4" s="582"/>
      <c r="DXQ4" s="582"/>
      <c r="DXR4" s="582"/>
      <c r="DXS4" s="582"/>
      <c r="DXT4" s="582"/>
      <c r="DXU4" s="582"/>
      <c r="DXV4" s="582"/>
      <c r="DXW4" s="582"/>
      <c r="DXX4" s="582"/>
      <c r="DXY4" s="582"/>
      <c r="DXZ4" s="582"/>
      <c r="DYA4" s="582"/>
      <c r="DYB4" s="582"/>
      <c r="DYC4" s="582"/>
      <c r="DYD4" s="582"/>
      <c r="DYE4" s="582"/>
      <c r="DYF4" s="582"/>
      <c r="DYG4" s="582"/>
      <c r="DYH4" s="582"/>
      <c r="DYI4" s="582"/>
      <c r="DYJ4" s="582"/>
      <c r="DYK4" s="582"/>
      <c r="DYL4" s="582"/>
      <c r="DYM4" s="582"/>
      <c r="DYN4" s="582"/>
      <c r="DYO4" s="582"/>
      <c r="DYP4" s="582"/>
      <c r="DYQ4" s="582"/>
      <c r="DYR4" s="582"/>
      <c r="DYS4" s="582"/>
      <c r="DYT4" s="582"/>
      <c r="DYU4" s="582"/>
      <c r="DYV4" s="582"/>
      <c r="DYW4" s="582"/>
      <c r="DYX4" s="582"/>
      <c r="DYY4" s="582"/>
      <c r="DYZ4" s="582"/>
      <c r="DZA4" s="582"/>
      <c r="DZB4" s="582"/>
      <c r="DZC4" s="582"/>
      <c r="DZD4" s="582"/>
      <c r="DZE4" s="582"/>
      <c r="DZF4" s="582"/>
      <c r="DZG4" s="582"/>
      <c r="DZH4" s="582"/>
      <c r="DZI4" s="582"/>
      <c r="DZJ4" s="582"/>
      <c r="DZK4" s="582"/>
      <c r="DZL4" s="582"/>
      <c r="DZM4" s="582"/>
      <c r="DZN4" s="582"/>
      <c r="DZO4" s="582"/>
      <c r="DZP4" s="582"/>
      <c r="DZQ4" s="582"/>
      <c r="DZR4" s="582"/>
      <c r="DZS4" s="582"/>
      <c r="DZT4" s="582"/>
      <c r="DZU4" s="582"/>
      <c r="DZV4" s="582"/>
      <c r="DZW4" s="582"/>
      <c r="DZX4" s="582"/>
      <c r="DZY4" s="582"/>
      <c r="DZZ4" s="582"/>
      <c r="EAA4" s="582"/>
      <c r="EAB4" s="582"/>
      <c r="EAC4" s="582"/>
      <c r="EAD4" s="582"/>
      <c r="EAE4" s="582"/>
      <c r="EAF4" s="582"/>
      <c r="EAG4" s="582"/>
      <c r="EAH4" s="582"/>
      <c r="EAI4" s="582"/>
      <c r="EAJ4" s="582"/>
      <c r="EAK4" s="582"/>
      <c r="EAL4" s="582"/>
      <c r="EAM4" s="582"/>
      <c r="EAN4" s="582"/>
      <c r="EAO4" s="582"/>
      <c r="EAP4" s="582"/>
      <c r="EAQ4" s="582"/>
      <c r="EAR4" s="582"/>
      <c r="EAS4" s="582"/>
      <c r="EAT4" s="582"/>
      <c r="EAU4" s="582"/>
      <c r="EAV4" s="582"/>
      <c r="EAW4" s="582"/>
      <c r="EAX4" s="582"/>
      <c r="EAY4" s="582"/>
      <c r="EAZ4" s="582"/>
      <c r="EBA4" s="582"/>
      <c r="EBB4" s="582"/>
      <c r="EBC4" s="582"/>
      <c r="EBD4" s="582"/>
      <c r="EBE4" s="582"/>
      <c r="EBF4" s="582"/>
      <c r="EBG4" s="582"/>
      <c r="EBH4" s="582"/>
      <c r="EBI4" s="582"/>
      <c r="EBJ4" s="582"/>
      <c r="EBK4" s="582"/>
      <c r="EBL4" s="582"/>
      <c r="EBM4" s="582"/>
      <c r="EBN4" s="582"/>
      <c r="EBO4" s="582"/>
      <c r="EBP4" s="582"/>
      <c r="EBQ4" s="582"/>
      <c r="EBR4" s="582"/>
      <c r="EBS4" s="582"/>
      <c r="EBT4" s="582"/>
      <c r="EBU4" s="582"/>
      <c r="EBV4" s="582"/>
      <c r="EBW4" s="582"/>
      <c r="EBX4" s="582"/>
      <c r="EBY4" s="582"/>
      <c r="EBZ4" s="582"/>
      <c r="ECA4" s="582"/>
      <c r="ECB4" s="582"/>
      <c r="ECC4" s="582"/>
      <c r="ECD4" s="582"/>
      <c r="ECE4" s="582"/>
      <c r="ECF4" s="582"/>
      <c r="ECG4" s="582"/>
      <c r="ECH4" s="582"/>
      <c r="ECI4" s="582"/>
      <c r="ECJ4" s="582"/>
      <c r="ECK4" s="582"/>
      <c r="ECL4" s="582"/>
      <c r="ECM4" s="582"/>
      <c r="ECN4" s="582"/>
      <c r="ECO4" s="582"/>
      <c r="ECP4" s="582"/>
      <c r="ECQ4" s="582"/>
      <c r="ECR4" s="582"/>
      <c r="ECS4" s="582"/>
      <c r="ECT4" s="582"/>
      <c r="ECU4" s="582"/>
      <c r="ECV4" s="582"/>
      <c r="ECW4" s="582"/>
      <c r="ECX4" s="582"/>
      <c r="ECY4" s="582"/>
      <c r="ECZ4" s="582"/>
      <c r="EDA4" s="582"/>
      <c r="EDB4" s="582"/>
      <c r="EDC4" s="582"/>
      <c r="EDD4" s="582"/>
      <c r="EDE4" s="582"/>
      <c r="EDF4" s="582"/>
      <c r="EDG4" s="582"/>
      <c r="EDH4" s="582"/>
      <c r="EDI4" s="582"/>
      <c r="EDJ4" s="582"/>
      <c r="EDK4" s="582"/>
      <c r="EDL4" s="582"/>
      <c r="EDM4" s="582"/>
      <c r="EDN4" s="582"/>
      <c r="EDO4" s="582"/>
      <c r="EDP4" s="582"/>
      <c r="EDQ4" s="582"/>
      <c r="EDR4" s="582"/>
      <c r="EDS4" s="582"/>
      <c r="EDT4" s="582"/>
      <c r="EDU4" s="582"/>
      <c r="EDV4" s="582"/>
      <c r="EDW4" s="582"/>
      <c r="EDX4" s="582"/>
      <c r="EDY4" s="582"/>
      <c r="EDZ4" s="582"/>
      <c r="EEA4" s="582"/>
      <c r="EEB4" s="582"/>
      <c r="EEC4" s="582"/>
      <c r="EED4" s="582"/>
      <c r="EEE4" s="582"/>
      <c r="EEF4" s="582"/>
      <c r="EEG4" s="582"/>
      <c r="EEH4" s="582"/>
      <c r="EEI4" s="582"/>
      <c r="EEJ4" s="582"/>
      <c r="EEK4" s="582"/>
      <c r="EEL4" s="582"/>
      <c r="EEM4" s="582"/>
      <c r="EEN4" s="582"/>
      <c r="EEO4" s="582"/>
      <c r="EEP4" s="582"/>
      <c r="EEQ4" s="582"/>
      <c r="EER4" s="582"/>
      <c r="EES4" s="582"/>
      <c r="EET4" s="582"/>
      <c r="EEU4" s="582"/>
      <c r="EEV4" s="582"/>
      <c r="EEW4" s="582"/>
      <c r="EEX4" s="582"/>
      <c r="EEY4" s="582"/>
      <c r="EEZ4" s="582"/>
      <c r="EFA4" s="582"/>
      <c r="EFB4" s="582"/>
      <c r="EFC4" s="582"/>
      <c r="EFD4" s="582"/>
      <c r="EFE4" s="582"/>
      <c r="EFF4" s="582"/>
      <c r="EFG4" s="582"/>
      <c r="EFH4" s="582"/>
      <c r="EFI4" s="582"/>
      <c r="EFJ4" s="582"/>
      <c r="EFK4" s="582"/>
      <c r="EFL4" s="582"/>
      <c r="EFM4" s="582"/>
      <c r="EFN4" s="582"/>
      <c r="EFO4" s="582"/>
      <c r="EFP4" s="582"/>
      <c r="EFQ4" s="582"/>
      <c r="EFR4" s="582"/>
      <c r="EFS4" s="582"/>
      <c r="EFT4" s="582"/>
      <c r="EFU4" s="582"/>
      <c r="EFV4" s="582"/>
      <c r="EFW4" s="582"/>
      <c r="EFX4" s="582"/>
      <c r="EFY4" s="582"/>
      <c r="EFZ4" s="582"/>
      <c r="EGA4" s="582"/>
      <c r="EGB4" s="582"/>
      <c r="EGC4" s="582"/>
      <c r="EGD4" s="582"/>
      <c r="EGE4" s="582"/>
      <c r="EGF4" s="582"/>
      <c r="EGG4" s="582"/>
      <c r="EGH4" s="582"/>
      <c r="EGI4" s="582"/>
      <c r="EGJ4" s="582"/>
      <c r="EGK4" s="582"/>
      <c r="EGL4" s="582"/>
      <c r="EGM4" s="582"/>
      <c r="EGN4" s="582"/>
      <c r="EGO4" s="582"/>
      <c r="EGP4" s="582"/>
      <c r="EGQ4" s="582"/>
      <c r="EGR4" s="582"/>
      <c r="EGS4" s="582"/>
      <c r="EGT4" s="582"/>
      <c r="EGU4" s="582"/>
      <c r="EGV4" s="582"/>
      <c r="EGW4" s="582"/>
      <c r="EGX4" s="582"/>
      <c r="EGY4" s="582"/>
      <c r="EGZ4" s="582"/>
      <c r="EHA4" s="582"/>
      <c r="EHB4" s="582"/>
      <c r="EHC4" s="582"/>
      <c r="EHD4" s="582"/>
      <c r="EHE4" s="582"/>
      <c r="EHF4" s="582"/>
      <c r="EHG4" s="582"/>
      <c r="EHH4" s="582"/>
      <c r="EHI4" s="582"/>
      <c r="EHJ4" s="582"/>
      <c r="EHK4" s="582"/>
      <c r="EHL4" s="582"/>
      <c r="EHM4" s="582"/>
      <c r="EHN4" s="582"/>
      <c r="EHO4" s="582"/>
      <c r="EHP4" s="582"/>
      <c r="EHQ4" s="582"/>
      <c r="EHR4" s="582"/>
      <c r="EHS4" s="582"/>
      <c r="EHT4" s="582"/>
      <c r="EHU4" s="582"/>
      <c r="EHV4" s="582"/>
      <c r="EHW4" s="582"/>
      <c r="EHX4" s="582"/>
      <c r="EHY4" s="582"/>
      <c r="EHZ4" s="582"/>
      <c r="EIA4" s="582"/>
      <c r="EIB4" s="582"/>
      <c r="EIC4" s="582"/>
      <c r="EID4" s="582"/>
      <c r="EIE4" s="582"/>
      <c r="EIF4" s="582"/>
      <c r="EIG4" s="582"/>
      <c r="EIH4" s="582"/>
      <c r="EII4" s="582"/>
      <c r="EIJ4" s="582"/>
      <c r="EIK4" s="582"/>
      <c r="EIL4" s="582"/>
      <c r="EIM4" s="582"/>
      <c r="EIN4" s="582"/>
      <c r="EIO4" s="582"/>
      <c r="EIP4" s="582"/>
      <c r="EIQ4" s="582"/>
      <c r="EIR4" s="582"/>
      <c r="EIS4" s="582"/>
      <c r="EIT4" s="582"/>
      <c r="EIU4" s="582"/>
      <c r="EIV4" s="582"/>
      <c r="EIW4" s="582"/>
      <c r="EIX4" s="582"/>
      <c r="EIY4" s="582"/>
      <c r="EIZ4" s="582"/>
      <c r="EJA4" s="582"/>
      <c r="EJB4" s="582"/>
      <c r="EJC4" s="582"/>
      <c r="EJD4" s="582"/>
      <c r="EJE4" s="582"/>
      <c r="EJF4" s="582"/>
      <c r="EJG4" s="582"/>
      <c r="EJH4" s="582"/>
      <c r="EJI4" s="582"/>
      <c r="EJJ4" s="582"/>
      <c r="EJK4" s="582"/>
      <c r="EJL4" s="582"/>
      <c r="EJM4" s="582"/>
      <c r="EJN4" s="582"/>
      <c r="EJO4" s="582"/>
      <c r="EJP4" s="582"/>
      <c r="EJQ4" s="582"/>
      <c r="EJR4" s="582"/>
      <c r="EJS4" s="582"/>
      <c r="EJT4" s="582"/>
      <c r="EJU4" s="582"/>
      <c r="EJV4" s="582"/>
      <c r="EJW4" s="582"/>
      <c r="EJX4" s="582"/>
      <c r="EJY4" s="582"/>
      <c r="EJZ4" s="582"/>
      <c r="EKA4" s="582"/>
      <c r="EKB4" s="582"/>
      <c r="EKC4" s="582"/>
      <c r="EKD4" s="582"/>
      <c r="EKE4" s="582"/>
      <c r="EKF4" s="582"/>
      <c r="EKG4" s="582"/>
      <c r="EKH4" s="582"/>
      <c r="EKI4" s="582"/>
      <c r="EKJ4" s="582"/>
      <c r="EKK4" s="582"/>
      <c r="EKL4" s="582"/>
      <c r="EKM4" s="582"/>
      <c r="EKN4" s="582"/>
      <c r="EKO4" s="582"/>
      <c r="EKP4" s="582"/>
      <c r="EKQ4" s="582"/>
      <c r="EKR4" s="582"/>
      <c r="EKS4" s="582"/>
      <c r="EKT4" s="582"/>
      <c r="EKU4" s="582"/>
      <c r="EKV4" s="582"/>
      <c r="EKW4" s="582"/>
      <c r="EKX4" s="582"/>
      <c r="EKY4" s="582"/>
      <c r="EKZ4" s="582"/>
      <c r="ELA4" s="582"/>
      <c r="ELB4" s="582"/>
      <c r="ELC4" s="582"/>
      <c r="ELD4" s="582"/>
      <c r="ELE4" s="582"/>
      <c r="ELF4" s="582"/>
      <c r="ELG4" s="582"/>
      <c r="ELH4" s="582"/>
      <c r="ELI4" s="582"/>
      <c r="ELJ4" s="582"/>
      <c r="ELK4" s="582"/>
      <c r="ELL4" s="582"/>
      <c r="ELM4" s="582"/>
      <c r="ELN4" s="582"/>
      <c r="ELO4" s="582"/>
      <c r="ELP4" s="582"/>
      <c r="ELQ4" s="582"/>
      <c r="ELR4" s="582"/>
      <c r="ELS4" s="582"/>
      <c r="ELT4" s="582"/>
      <c r="ELU4" s="582"/>
      <c r="ELV4" s="582"/>
      <c r="ELW4" s="582"/>
      <c r="ELX4" s="582"/>
      <c r="ELY4" s="582"/>
      <c r="ELZ4" s="582"/>
      <c r="EMA4" s="582"/>
      <c r="EMB4" s="582"/>
      <c r="EMC4" s="582"/>
      <c r="EMD4" s="582"/>
      <c r="EME4" s="582"/>
      <c r="EMF4" s="582"/>
      <c r="EMG4" s="582"/>
      <c r="EMH4" s="582"/>
      <c r="EMI4" s="582"/>
      <c r="EMJ4" s="582"/>
      <c r="EMK4" s="582"/>
      <c r="EML4" s="582"/>
      <c r="EMM4" s="582"/>
      <c r="EMN4" s="582"/>
      <c r="EMO4" s="582"/>
      <c r="EMP4" s="582"/>
      <c r="EMQ4" s="582"/>
      <c r="EMR4" s="582"/>
      <c r="EMS4" s="582"/>
      <c r="EMT4" s="582"/>
      <c r="EMU4" s="582"/>
      <c r="EMV4" s="582"/>
      <c r="EMW4" s="582"/>
      <c r="EMX4" s="582"/>
      <c r="EMY4" s="582"/>
      <c r="EMZ4" s="582"/>
      <c r="ENA4" s="582"/>
      <c r="ENB4" s="582"/>
      <c r="ENC4" s="582"/>
      <c r="END4" s="582"/>
      <c r="ENE4" s="582"/>
      <c r="ENF4" s="582"/>
      <c r="ENG4" s="582"/>
      <c r="ENH4" s="582"/>
      <c r="ENI4" s="582"/>
      <c r="ENJ4" s="582"/>
      <c r="ENK4" s="582"/>
      <c r="ENL4" s="582"/>
      <c r="ENM4" s="582"/>
      <c r="ENN4" s="582"/>
      <c r="ENO4" s="582"/>
      <c r="ENP4" s="582"/>
      <c r="ENQ4" s="582"/>
      <c r="ENR4" s="582"/>
      <c r="ENS4" s="582"/>
      <c r="ENT4" s="582"/>
      <c r="ENU4" s="582"/>
      <c r="ENV4" s="582"/>
      <c r="ENW4" s="582"/>
      <c r="ENX4" s="582"/>
      <c r="ENY4" s="582"/>
      <c r="ENZ4" s="582"/>
      <c r="EOA4" s="582"/>
      <c r="EOB4" s="582"/>
      <c r="EOC4" s="582"/>
      <c r="EOD4" s="582"/>
      <c r="EOE4" s="582"/>
      <c r="EOF4" s="582"/>
      <c r="EOG4" s="582"/>
      <c r="EOH4" s="582"/>
      <c r="EOI4" s="582"/>
      <c r="EOJ4" s="582"/>
      <c r="EOK4" s="582"/>
      <c r="EOL4" s="582"/>
      <c r="EOM4" s="582"/>
      <c r="EON4" s="582"/>
      <c r="EOO4" s="582"/>
      <c r="EOP4" s="582"/>
      <c r="EOQ4" s="582"/>
      <c r="EOR4" s="582"/>
      <c r="EOS4" s="582"/>
      <c r="EOT4" s="582"/>
      <c r="EOU4" s="582"/>
      <c r="EOV4" s="582"/>
      <c r="EOW4" s="582"/>
      <c r="EOX4" s="582"/>
      <c r="EOY4" s="582"/>
      <c r="EOZ4" s="582"/>
      <c r="EPA4" s="582"/>
      <c r="EPB4" s="582"/>
      <c r="EPC4" s="582"/>
      <c r="EPD4" s="582"/>
      <c r="EPE4" s="582"/>
      <c r="EPF4" s="582"/>
      <c r="EPG4" s="582"/>
      <c r="EPH4" s="582"/>
      <c r="EPI4" s="582"/>
      <c r="EPJ4" s="582"/>
      <c r="EPK4" s="582"/>
      <c r="EPL4" s="582"/>
      <c r="EPM4" s="582"/>
      <c r="EPN4" s="582"/>
      <c r="EPO4" s="582"/>
      <c r="EPP4" s="582"/>
      <c r="EPQ4" s="582"/>
      <c r="EPR4" s="582"/>
      <c r="EPS4" s="582"/>
      <c r="EPT4" s="582"/>
      <c r="EPU4" s="582"/>
      <c r="EPV4" s="582"/>
      <c r="EPW4" s="582"/>
      <c r="EPX4" s="582"/>
      <c r="EPY4" s="582"/>
      <c r="EPZ4" s="582"/>
      <c r="EQA4" s="582"/>
      <c r="EQB4" s="582"/>
      <c r="EQC4" s="582"/>
      <c r="EQD4" s="582"/>
      <c r="EQE4" s="582"/>
      <c r="EQF4" s="582"/>
      <c r="EQG4" s="582"/>
      <c r="EQH4" s="582"/>
      <c r="EQI4" s="582"/>
      <c r="EQJ4" s="582"/>
      <c r="EQK4" s="582"/>
      <c r="EQL4" s="582"/>
      <c r="EQM4" s="582"/>
      <c r="EQN4" s="582"/>
      <c r="EQO4" s="582"/>
      <c r="EQP4" s="582"/>
      <c r="EQQ4" s="582"/>
      <c r="EQR4" s="582"/>
      <c r="EQS4" s="582"/>
      <c r="EQT4" s="582"/>
      <c r="EQU4" s="582"/>
      <c r="EQV4" s="582"/>
      <c r="EQW4" s="582"/>
      <c r="EQX4" s="582"/>
      <c r="EQY4" s="582"/>
      <c r="EQZ4" s="582"/>
      <c r="ERA4" s="582"/>
      <c r="ERB4" s="582"/>
      <c r="ERC4" s="582"/>
      <c r="ERD4" s="582"/>
      <c r="ERE4" s="582"/>
      <c r="ERF4" s="582"/>
      <c r="ERG4" s="582"/>
      <c r="ERH4" s="582"/>
      <c r="ERI4" s="582"/>
      <c r="ERJ4" s="582"/>
      <c r="ERK4" s="582"/>
      <c r="ERL4" s="582"/>
      <c r="ERM4" s="582"/>
      <c r="ERN4" s="582"/>
      <c r="ERO4" s="582"/>
      <c r="ERP4" s="582"/>
      <c r="ERQ4" s="582"/>
      <c r="ERR4" s="582"/>
      <c r="ERS4" s="582"/>
      <c r="ERT4" s="582"/>
      <c r="ERU4" s="582"/>
      <c r="ERV4" s="582"/>
      <c r="ERW4" s="582"/>
      <c r="ERX4" s="582"/>
      <c r="ERY4" s="582"/>
      <c r="ERZ4" s="582"/>
      <c r="ESA4" s="582"/>
      <c r="ESB4" s="582"/>
      <c r="ESC4" s="582"/>
      <c r="ESD4" s="582"/>
      <c r="ESE4" s="582"/>
      <c r="ESF4" s="582"/>
      <c r="ESG4" s="582"/>
      <c r="ESH4" s="582"/>
      <c r="ESI4" s="582"/>
      <c r="ESJ4" s="582"/>
      <c r="ESK4" s="582"/>
      <c r="ESL4" s="582"/>
      <c r="ESM4" s="582"/>
      <c r="ESN4" s="582"/>
      <c r="ESO4" s="582"/>
      <c r="ESP4" s="582"/>
      <c r="ESQ4" s="582"/>
      <c r="ESR4" s="582"/>
      <c r="ESS4" s="582"/>
      <c r="EST4" s="582"/>
      <c r="ESU4" s="582"/>
      <c r="ESV4" s="582"/>
      <c r="ESW4" s="582"/>
      <c r="ESX4" s="582"/>
      <c r="ESY4" s="582"/>
      <c r="ESZ4" s="582"/>
      <c r="ETA4" s="582"/>
      <c r="ETB4" s="582"/>
      <c r="ETC4" s="582"/>
      <c r="ETD4" s="582"/>
      <c r="ETE4" s="582"/>
      <c r="ETF4" s="582"/>
      <c r="ETG4" s="582"/>
      <c r="ETH4" s="582"/>
      <c r="ETI4" s="582"/>
      <c r="ETJ4" s="582"/>
      <c r="ETK4" s="582"/>
      <c r="ETL4" s="582"/>
      <c r="ETM4" s="582"/>
      <c r="ETN4" s="582"/>
      <c r="ETO4" s="582"/>
      <c r="ETP4" s="582"/>
      <c r="ETQ4" s="582"/>
      <c r="ETR4" s="582"/>
      <c r="ETS4" s="582"/>
      <c r="ETT4" s="582"/>
      <c r="ETU4" s="582"/>
      <c r="ETV4" s="582"/>
      <c r="ETW4" s="582"/>
      <c r="ETX4" s="582"/>
      <c r="ETY4" s="582"/>
      <c r="ETZ4" s="582"/>
      <c r="EUA4" s="582"/>
      <c r="EUB4" s="582"/>
      <c r="EUC4" s="582"/>
      <c r="EUD4" s="582"/>
      <c r="EUE4" s="582"/>
      <c r="EUF4" s="582"/>
      <c r="EUG4" s="582"/>
      <c r="EUH4" s="582"/>
      <c r="EUI4" s="582"/>
      <c r="EUJ4" s="582"/>
      <c r="EUK4" s="582"/>
      <c r="EUL4" s="582"/>
      <c r="EUM4" s="582"/>
      <c r="EUN4" s="582"/>
      <c r="EUO4" s="582"/>
      <c r="EUP4" s="582"/>
      <c r="EUQ4" s="582"/>
      <c r="EUR4" s="582"/>
      <c r="EUS4" s="582"/>
      <c r="EUT4" s="582"/>
      <c r="EUU4" s="582"/>
      <c r="EUV4" s="582"/>
      <c r="EUW4" s="582"/>
      <c r="EUX4" s="582"/>
      <c r="EUY4" s="582"/>
      <c r="EUZ4" s="582"/>
      <c r="EVA4" s="582"/>
      <c r="EVB4" s="582"/>
      <c r="EVC4" s="582"/>
      <c r="EVD4" s="582"/>
      <c r="EVE4" s="582"/>
      <c r="EVF4" s="582"/>
      <c r="EVG4" s="582"/>
      <c r="EVH4" s="582"/>
      <c r="EVI4" s="582"/>
      <c r="EVJ4" s="582"/>
      <c r="EVK4" s="582"/>
      <c r="EVL4" s="582"/>
      <c r="EVM4" s="582"/>
      <c r="EVN4" s="582"/>
      <c r="EVO4" s="582"/>
      <c r="EVP4" s="582"/>
      <c r="EVQ4" s="582"/>
      <c r="EVR4" s="582"/>
      <c r="EVS4" s="582"/>
      <c r="EVT4" s="582"/>
      <c r="EVU4" s="582"/>
      <c r="EVV4" s="582"/>
      <c r="EVW4" s="582"/>
      <c r="EVX4" s="582"/>
      <c r="EVY4" s="582"/>
      <c r="EVZ4" s="582"/>
      <c r="EWA4" s="582"/>
      <c r="EWB4" s="582"/>
      <c r="EWC4" s="582"/>
      <c r="EWD4" s="582"/>
      <c r="EWE4" s="582"/>
      <c r="EWF4" s="582"/>
      <c r="EWG4" s="582"/>
      <c r="EWH4" s="582"/>
      <c r="EWI4" s="582"/>
      <c r="EWJ4" s="582"/>
      <c r="EWK4" s="582"/>
      <c r="EWL4" s="582"/>
      <c r="EWM4" s="582"/>
      <c r="EWN4" s="582"/>
      <c r="EWO4" s="582"/>
      <c r="EWP4" s="582"/>
      <c r="EWQ4" s="582"/>
      <c r="EWR4" s="582"/>
      <c r="EWS4" s="582"/>
      <c r="EWT4" s="582"/>
      <c r="EWU4" s="582"/>
      <c r="EWV4" s="582"/>
      <c r="EWW4" s="582"/>
      <c r="EWX4" s="582"/>
      <c r="EWY4" s="582"/>
      <c r="EWZ4" s="582"/>
      <c r="EXA4" s="582"/>
      <c r="EXB4" s="582"/>
      <c r="EXC4" s="582"/>
      <c r="EXD4" s="582"/>
      <c r="EXE4" s="582"/>
      <c r="EXF4" s="582"/>
      <c r="EXG4" s="582"/>
      <c r="EXH4" s="582"/>
      <c r="EXI4" s="582"/>
      <c r="EXJ4" s="582"/>
      <c r="EXK4" s="582"/>
      <c r="EXL4" s="582"/>
      <c r="EXM4" s="582"/>
      <c r="EXN4" s="582"/>
      <c r="EXO4" s="582"/>
      <c r="EXP4" s="582"/>
      <c r="EXQ4" s="582"/>
      <c r="EXR4" s="582"/>
      <c r="EXS4" s="582"/>
      <c r="EXT4" s="582"/>
      <c r="EXU4" s="582"/>
      <c r="EXV4" s="582"/>
      <c r="EXW4" s="582"/>
      <c r="EXX4" s="582"/>
      <c r="EXY4" s="582"/>
      <c r="EXZ4" s="582"/>
      <c r="EYA4" s="582"/>
      <c r="EYB4" s="582"/>
      <c r="EYC4" s="582"/>
      <c r="EYD4" s="582"/>
      <c r="EYE4" s="582"/>
      <c r="EYF4" s="582"/>
      <c r="EYG4" s="582"/>
      <c r="EYH4" s="582"/>
      <c r="EYI4" s="582"/>
      <c r="EYJ4" s="582"/>
      <c r="EYK4" s="582"/>
      <c r="EYL4" s="582"/>
      <c r="EYM4" s="582"/>
      <c r="EYN4" s="582"/>
      <c r="EYO4" s="582"/>
      <c r="EYP4" s="582"/>
      <c r="EYQ4" s="582"/>
      <c r="EYR4" s="582"/>
      <c r="EYS4" s="582"/>
      <c r="EYT4" s="582"/>
      <c r="EYU4" s="582"/>
      <c r="EYV4" s="582"/>
      <c r="EYW4" s="582"/>
      <c r="EYX4" s="582"/>
      <c r="EYY4" s="582"/>
      <c r="EYZ4" s="582"/>
      <c r="EZA4" s="582"/>
      <c r="EZB4" s="582"/>
      <c r="EZC4" s="582"/>
      <c r="EZD4" s="582"/>
      <c r="EZE4" s="582"/>
      <c r="EZF4" s="582"/>
      <c r="EZG4" s="582"/>
      <c r="EZH4" s="582"/>
      <c r="EZI4" s="582"/>
      <c r="EZJ4" s="582"/>
      <c r="EZK4" s="582"/>
      <c r="EZL4" s="582"/>
      <c r="EZM4" s="582"/>
      <c r="EZN4" s="582"/>
      <c r="EZO4" s="582"/>
      <c r="EZP4" s="582"/>
      <c r="EZQ4" s="582"/>
      <c r="EZR4" s="582"/>
      <c r="EZS4" s="582"/>
      <c r="EZT4" s="582"/>
      <c r="EZU4" s="582"/>
      <c r="EZV4" s="582"/>
      <c r="EZW4" s="582"/>
      <c r="EZX4" s="582"/>
      <c r="EZY4" s="582"/>
      <c r="EZZ4" s="582"/>
      <c r="FAA4" s="582"/>
      <c r="FAB4" s="582"/>
      <c r="FAC4" s="582"/>
      <c r="FAD4" s="582"/>
      <c r="FAE4" s="582"/>
      <c r="FAF4" s="582"/>
      <c r="FAG4" s="582"/>
      <c r="FAH4" s="582"/>
      <c r="FAI4" s="582"/>
      <c r="FAJ4" s="582"/>
      <c r="FAK4" s="582"/>
      <c r="FAL4" s="582"/>
      <c r="FAM4" s="582"/>
      <c r="FAN4" s="582"/>
      <c r="FAO4" s="582"/>
      <c r="FAP4" s="582"/>
      <c r="FAQ4" s="582"/>
      <c r="FAR4" s="582"/>
      <c r="FAS4" s="582"/>
      <c r="FAT4" s="582"/>
      <c r="FAU4" s="582"/>
      <c r="FAV4" s="582"/>
      <c r="FAW4" s="582"/>
      <c r="FAX4" s="582"/>
      <c r="FAY4" s="582"/>
      <c r="FAZ4" s="582"/>
      <c r="FBA4" s="582"/>
      <c r="FBB4" s="582"/>
      <c r="FBC4" s="582"/>
      <c r="FBD4" s="582"/>
      <c r="FBE4" s="582"/>
      <c r="FBF4" s="582"/>
      <c r="FBG4" s="582"/>
      <c r="FBH4" s="582"/>
      <c r="FBI4" s="582"/>
      <c r="FBJ4" s="582"/>
      <c r="FBK4" s="582"/>
      <c r="FBL4" s="582"/>
      <c r="FBM4" s="582"/>
      <c r="FBN4" s="582"/>
      <c r="FBO4" s="582"/>
      <c r="FBP4" s="582"/>
      <c r="FBQ4" s="582"/>
      <c r="FBR4" s="582"/>
      <c r="FBS4" s="582"/>
      <c r="FBT4" s="582"/>
      <c r="FBU4" s="582"/>
      <c r="FBV4" s="582"/>
      <c r="FBW4" s="582"/>
      <c r="FBX4" s="582"/>
      <c r="FBY4" s="582"/>
      <c r="FBZ4" s="582"/>
      <c r="FCA4" s="582"/>
      <c r="FCB4" s="582"/>
      <c r="FCC4" s="582"/>
      <c r="FCD4" s="582"/>
      <c r="FCE4" s="582"/>
      <c r="FCF4" s="582"/>
      <c r="FCG4" s="582"/>
      <c r="FCH4" s="582"/>
      <c r="FCI4" s="582"/>
      <c r="FCJ4" s="582"/>
      <c r="FCK4" s="582"/>
      <c r="FCL4" s="582"/>
      <c r="FCM4" s="582"/>
      <c r="FCN4" s="582"/>
      <c r="FCO4" s="582"/>
      <c r="FCP4" s="582"/>
      <c r="FCQ4" s="582"/>
      <c r="FCR4" s="582"/>
      <c r="FCS4" s="582"/>
      <c r="FCT4" s="582"/>
      <c r="FCU4" s="582"/>
      <c r="FCV4" s="582"/>
      <c r="FCW4" s="582"/>
      <c r="FCX4" s="582"/>
      <c r="FCY4" s="582"/>
      <c r="FCZ4" s="582"/>
      <c r="FDA4" s="582"/>
      <c r="FDB4" s="582"/>
      <c r="FDC4" s="582"/>
      <c r="FDD4" s="582"/>
      <c r="FDE4" s="582"/>
      <c r="FDF4" s="582"/>
      <c r="FDG4" s="582"/>
      <c r="FDH4" s="582"/>
      <c r="FDI4" s="582"/>
      <c r="FDJ4" s="582"/>
      <c r="FDK4" s="582"/>
      <c r="FDL4" s="582"/>
      <c r="FDM4" s="582"/>
      <c r="FDN4" s="582"/>
      <c r="FDO4" s="582"/>
      <c r="FDP4" s="582"/>
      <c r="FDQ4" s="582"/>
      <c r="FDR4" s="582"/>
      <c r="FDS4" s="582"/>
      <c r="FDT4" s="582"/>
      <c r="FDU4" s="582"/>
      <c r="FDV4" s="582"/>
      <c r="FDW4" s="582"/>
      <c r="FDX4" s="582"/>
      <c r="FDY4" s="582"/>
      <c r="FDZ4" s="582"/>
      <c r="FEA4" s="582"/>
      <c r="FEB4" s="582"/>
      <c r="FEC4" s="582"/>
      <c r="FED4" s="582"/>
      <c r="FEE4" s="582"/>
      <c r="FEF4" s="582"/>
      <c r="FEG4" s="582"/>
      <c r="FEH4" s="582"/>
      <c r="FEI4" s="582"/>
      <c r="FEJ4" s="582"/>
      <c r="FEK4" s="582"/>
      <c r="FEL4" s="582"/>
      <c r="FEM4" s="582"/>
      <c r="FEN4" s="582"/>
      <c r="FEO4" s="582"/>
      <c r="FEP4" s="582"/>
      <c r="FEQ4" s="582"/>
      <c r="FER4" s="582"/>
      <c r="FES4" s="582"/>
      <c r="FET4" s="582"/>
      <c r="FEU4" s="582"/>
      <c r="FEV4" s="582"/>
      <c r="FEW4" s="582"/>
      <c r="FEX4" s="582"/>
      <c r="FEY4" s="582"/>
      <c r="FEZ4" s="582"/>
      <c r="FFA4" s="582"/>
      <c r="FFB4" s="582"/>
      <c r="FFC4" s="582"/>
      <c r="FFD4" s="582"/>
      <c r="FFE4" s="582"/>
      <c r="FFF4" s="582"/>
      <c r="FFG4" s="582"/>
      <c r="FFH4" s="582"/>
      <c r="FFI4" s="582"/>
      <c r="FFJ4" s="582"/>
      <c r="FFK4" s="582"/>
      <c r="FFL4" s="582"/>
      <c r="FFM4" s="582"/>
      <c r="FFN4" s="582"/>
      <c r="FFO4" s="582"/>
      <c r="FFP4" s="582"/>
      <c r="FFQ4" s="582"/>
      <c r="FFR4" s="582"/>
      <c r="FFS4" s="582"/>
      <c r="FFT4" s="582"/>
      <c r="FFU4" s="582"/>
      <c r="FFV4" s="582"/>
      <c r="FFW4" s="582"/>
      <c r="FFX4" s="582"/>
      <c r="FFY4" s="582"/>
      <c r="FFZ4" s="582"/>
      <c r="FGA4" s="582"/>
      <c r="FGB4" s="582"/>
      <c r="FGC4" s="582"/>
      <c r="FGD4" s="582"/>
      <c r="FGE4" s="582"/>
      <c r="FGF4" s="582"/>
      <c r="FGG4" s="582"/>
      <c r="FGH4" s="582"/>
      <c r="FGI4" s="582"/>
      <c r="FGJ4" s="582"/>
      <c r="FGK4" s="582"/>
      <c r="FGL4" s="582"/>
      <c r="FGM4" s="582"/>
      <c r="FGN4" s="582"/>
      <c r="FGO4" s="582"/>
      <c r="FGP4" s="582"/>
      <c r="FGQ4" s="582"/>
      <c r="FGR4" s="582"/>
      <c r="FGS4" s="582"/>
      <c r="FGT4" s="582"/>
      <c r="FGU4" s="582"/>
      <c r="FGV4" s="582"/>
      <c r="FGW4" s="582"/>
      <c r="FGX4" s="582"/>
      <c r="FGY4" s="582"/>
      <c r="FGZ4" s="582"/>
      <c r="FHA4" s="582"/>
      <c r="FHB4" s="582"/>
      <c r="FHC4" s="582"/>
      <c r="FHD4" s="582"/>
      <c r="FHE4" s="582"/>
      <c r="FHF4" s="582"/>
      <c r="FHG4" s="582"/>
      <c r="FHH4" s="582"/>
      <c r="FHI4" s="582"/>
      <c r="FHJ4" s="582"/>
      <c r="FHK4" s="582"/>
      <c r="FHL4" s="582"/>
      <c r="FHM4" s="582"/>
      <c r="FHN4" s="582"/>
      <c r="FHO4" s="582"/>
      <c r="FHP4" s="582"/>
      <c r="FHQ4" s="582"/>
      <c r="FHR4" s="582"/>
      <c r="FHS4" s="582"/>
      <c r="FHT4" s="582"/>
      <c r="FHU4" s="582"/>
      <c r="FHV4" s="582"/>
      <c r="FHW4" s="582"/>
      <c r="FHX4" s="582"/>
      <c r="FHY4" s="582"/>
      <c r="FHZ4" s="582"/>
      <c r="FIA4" s="582"/>
      <c r="FIB4" s="582"/>
      <c r="FIC4" s="582"/>
      <c r="FID4" s="582"/>
      <c r="FIE4" s="582"/>
      <c r="FIF4" s="582"/>
      <c r="FIG4" s="582"/>
      <c r="FIH4" s="582"/>
      <c r="FII4" s="582"/>
      <c r="FIJ4" s="582"/>
      <c r="FIK4" s="582"/>
      <c r="FIL4" s="582"/>
      <c r="FIM4" s="582"/>
      <c r="FIN4" s="582"/>
      <c r="FIO4" s="582"/>
      <c r="FIP4" s="582"/>
      <c r="FIQ4" s="582"/>
      <c r="FIR4" s="582"/>
      <c r="FIS4" s="582"/>
      <c r="FIT4" s="582"/>
      <c r="FIU4" s="582"/>
      <c r="FIV4" s="582"/>
      <c r="FIW4" s="582"/>
      <c r="FIX4" s="582"/>
      <c r="FIY4" s="582"/>
      <c r="FIZ4" s="582"/>
      <c r="FJA4" s="582"/>
      <c r="FJB4" s="582"/>
      <c r="FJC4" s="582"/>
      <c r="FJD4" s="582"/>
      <c r="FJE4" s="582"/>
      <c r="FJF4" s="582"/>
      <c r="FJG4" s="582"/>
      <c r="FJH4" s="582"/>
      <c r="FJI4" s="582"/>
      <c r="FJJ4" s="582"/>
      <c r="FJK4" s="582"/>
      <c r="FJL4" s="582"/>
      <c r="FJM4" s="582"/>
      <c r="FJN4" s="582"/>
      <c r="FJO4" s="582"/>
      <c r="FJP4" s="582"/>
      <c r="FJQ4" s="582"/>
      <c r="FJR4" s="582"/>
      <c r="FJS4" s="582"/>
      <c r="FJT4" s="582"/>
      <c r="FJU4" s="582"/>
      <c r="FJV4" s="582"/>
      <c r="FJW4" s="582"/>
      <c r="FJX4" s="582"/>
      <c r="FJY4" s="582"/>
      <c r="FJZ4" s="582"/>
      <c r="FKA4" s="582"/>
      <c r="FKB4" s="582"/>
      <c r="FKC4" s="582"/>
      <c r="FKD4" s="582"/>
      <c r="FKE4" s="582"/>
      <c r="FKF4" s="582"/>
      <c r="FKG4" s="582"/>
      <c r="FKH4" s="582"/>
      <c r="FKI4" s="582"/>
      <c r="FKJ4" s="582"/>
      <c r="FKK4" s="582"/>
      <c r="FKL4" s="582"/>
      <c r="FKM4" s="582"/>
      <c r="FKN4" s="582"/>
      <c r="FKO4" s="582"/>
      <c r="FKP4" s="582"/>
      <c r="FKQ4" s="582"/>
      <c r="FKR4" s="582"/>
      <c r="FKS4" s="582"/>
      <c r="FKT4" s="582"/>
      <c r="FKU4" s="582"/>
      <c r="FKV4" s="582"/>
      <c r="FKW4" s="582"/>
      <c r="FKX4" s="582"/>
      <c r="FKY4" s="582"/>
      <c r="FKZ4" s="582"/>
      <c r="FLA4" s="582"/>
      <c r="FLB4" s="582"/>
      <c r="FLC4" s="582"/>
      <c r="FLD4" s="582"/>
      <c r="FLE4" s="582"/>
      <c r="FLF4" s="582"/>
      <c r="FLG4" s="582"/>
      <c r="FLH4" s="582"/>
      <c r="FLI4" s="582"/>
      <c r="FLJ4" s="582"/>
      <c r="FLK4" s="582"/>
      <c r="FLL4" s="582"/>
      <c r="FLM4" s="582"/>
      <c r="FLN4" s="582"/>
      <c r="FLO4" s="582"/>
      <c r="FLP4" s="582"/>
      <c r="FLQ4" s="582"/>
      <c r="FLR4" s="582"/>
      <c r="FLS4" s="582"/>
      <c r="FLT4" s="582"/>
      <c r="FLU4" s="582"/>
      <c r="FLV4" s="582"/>
      <c r="FLW4" s="582"/>
      <c r="FLX4" s="582"/>
      <c r="FLY4" s="582"/>
      <c r="FLZ4" s="582"/>
      <c r="FMA4" s="582"/>
      <c r="FMB4" s="582"/>
      <c r="FMC4" s="582"/>
      <c r="FMD4" s="582"/>
      <c r="FME4" s="582"/>
      <c r="FMF4" s="582"/>
      <c r="FMG4" s="582"/>
      <c r="FMH4" s="582"/>
      <c r="FMI4" s="582"/>
      <c r="FMJ4" s="582"/>
      <c r="FMK4" s="582"/>
      <c r="FML4" s="582"/>
      <c r="FMM4" s="582"/>
      <c r="FMN4" s="582"/>
      <c r="FMO4" s="582"/>
      <c r="FMP4" s="582"/>
      <c r="FMQ4" s="582"/>
      <c r="FMR4" s="582"/>
      <c r="FMS4" s="582"/>
      <c r="FMT4" s="582"/>
      <c r="FMU4" s="582"/>
      <c r="FMV4" s="582"/>
      <c r="FMW4" s="582"/>
      <c r="FMX4" s="582"/>
      <c r="FMY4" s="582"/>
      <c r="FMZ4" s="582"/>
      <c r="FNA4" s="582"/>
      <c r="FNB4" s="582"/>
      <c r="FNC4" s="582"/>
      <c r="FND4" s="582"/>
      <c r="FNE4" s="582"/>
      <c r="FNF4" s="582"/>
      <c r="FNG4" s="582"/>
      <c r="FNH4" s="582"/>
      <c r="FNI4" s="582"/>
      <c r="FNJ4" s="582"/>
      <c r="FNK4" s="582"/>
      <c r="FNL4" s="582"/>
      <c r="FNM4" s="582"/>
      <c r="FNN4" s="582"/>
      <c r="FNO4" s="582"/>
      <c r="FNP4" s="582"/>
      <c r="FNQ4" s="582"/>
      <c r="FNR4" s="582"/>
      <c r="FNS4" s="582"/>
      <c r="FNT4" s="582"/>
      <c r="FNU4" s="582"/>
      <c r="FNV4" s="582"/>
      <c r="FNW4" s="582"/>
      <c r="FNX4" s="582"/>
      <c r="FNY4" s="582"/>
      <c r="FNZ4" s="582"/>
      <c r="FOA4" s="582"/>
      <c r="FOB4" s="582"/>
      <c r="FOC4" s="582"/>
      <c r="FOD4" s="582"/>
      <c r="FOE4" s="582"/>
      <c r="FOF4" s="582"/>
      <c r="FOG4" s="582"/>
      <c r="FOH4" s="582"/>
      <c r="FOI4" s="582"/>
      <c r="FOJ4" s="582"/>
      <c r="FOK4" s="582"/>
      <c r="FOL4" s="582"/>
      <c r="FOM4" s="582"/>
      <c r="FON4" s="582"/>
      <c r="FOO4" s="582"/>
      <c r="FOP4" s="582"/>
      <c r="FOQ4" s="582"/>
      <c r="FOR4" s="582"/>
      <c r="FOS4" s="582"/>
      <c r="FOT4" s="582"/>
      <c r="FOU4" s="582"/>
      <c r="FOV4" s="582"/>
      <c r="FOW4" s="582"/>
      <c r="FOX4" s="582"/>
      <c r="FOY4" s="582"/>
      <c r="FOZ4" s="582"/>
      <c r="FPA4" s="582"/>
      <c r="FPB4" s="582"/>
      <c r="FPC4" s="582"/>
      <c r="FPD4" s="582"/>
      <c r="FPE4" s="582"/>
      <c r="FPF4" s="582"/>
      <c r="FPG4" s="582"/>
      <c r="FPH4" s="582"/>
      <c r="FPI4" s="582"/>
      <c r="FPJ4" s="582"/>
      <c r="FPK4" s="582"/>
      <c r="FPL4" s="582"/>
      <c r="FPM4" s="582"/>
      <c r="FPN4" s="582"/>
      <c r="FPO4" s="582"/>
      <c r="FPP4" s="582"/>
      <c r="FPQ4" s="582"/>
      <c r="FPR4" s="582"/>
      <c r="FPS4" s="582"/>
      <c r="FPT4" s="582"/>
      <c r="FPU4" s="582"/>
      <c r="FPV4" s="582"/>
      <c r="FPW4" s="582"/>
      <c r="FPX4" s="582"/>
      <c r="FPY4" s="582"/>
      <c r="FPZ4" s="582"/>
      <c r="FQA4" s="582"/>
      <c r="FQB4" s="582"/>
      <c r="FQC4" s="582"/>
      <c r="FQD4" s="582"/>
      <c r="FQE4" s="582"/>
      <c r="FQF4" s="582"/>
      <c r="FQG4" s="582"/>
      <c r="FQH4" s="582"/>
      <c r="FQI4" s="582"/>
      <c r="FQJ4" s="582"/>
      <c r="FQK4" s="582"/>
      <c r="FQL4" s="582"/>
      <c r="FQM4" s="582"/>
      <c r="FQN4" s="582"/>
      <c r="FQO4" s="582"/>
      <c r="FQP4" s="582"/>
      <c r="FQQ4" s="582"/>
      <c r="FQR4" s="582"/>
      <c r="FQS4" s="582"/>
      <c r="FQT4" s="582"/>
      <c r="FQU4" s="582"/>
      <c r="FQV4" s="582"/>
      <c r="FQW4" s="582"/>
      <c r="FQX4" s="582"/>
      <c r="FQY4" s="582"/>
      <c r="FQZ4" s="582"/>
      <c r="FRA4" s="582"/>
      <c r="FRB4" s="582"/>
      <c r="FRC4" s="582"/>
      <c r="FRD4" s="582"/>
      <c r="FRE4" s="582"/>
      <c r="FRF4" s="582"/>
      <c r="FRG4" s="582"/>
      <c r="FRH4" s="582"/>
      <c r="FRI4" s="582"/>
      <c r="FRJ4" s="582"/>
      <c r="FRK4" s="582"/>
      <c r="FRL4" s="582"/>
      <c r="FRM4" s="582"/>
      <c r="FRN4" s="582"/>
      <c r="FRO4" s="582"/>
      <c r="FRP4" s="582"/>
      <c r="FRQ4" s="582"/>
      <c r="FRR4" s="582"/>
      <c r="FRS4" s="582"/>
      <c r="FRT4" s="582"/>
      <c r="FRU4" s="582"/>
      <c r="FRV4" s="582"/>
      <c r="FRW4" s="582"/>
      <c r="FRX4" s="582"/>
      <c r="FRY4" s="582"/>
      <c r="FRZ4" s="582"/>
      <c r="FSA4" s="582"/>
      <c r="FSB4" s="582"/>
      <c r="FSC4" s="582"/>
      <c r="FSD4" s="582"/>
      <c r="FSE4" s="582"/>
      <c r="FSF4" s="582"/>
      <c r="FSG4" s="582"/>
      <c r="FSH4" s="582"/>
      <c r="FSI4" s="582"/>
      <c r="FSJ4" s="582"/>
      <c r="FSK4" s="582"/>
      <c r="FSL4" s="582"/>
      <c r="FSM4" s="582"/>
      <c r="FSN4" s="582"/>
      <c r="FSO4" s="582"/>
      <c r="FSP4" s="582"/>
      <c r="FSQ4" s="582"/>
      <c r="FSR4" s="582"/>
      <c r="FSS4" s="582"/>
      <c r="FST4" s="582"/>
      <c r="FSU4" s="582"/>
      <c r="FSV4" s="582"/>
      <c r="FSW4" s="582"/>
      <c r="FSX4" s="582"/>
      <c r="FSY4" s="582"/>
      <c r="FSZ4" s="582"/>
      <c r="FTA4" s="582"/>
      <c r="FTB4" s="582"/>
      <c r="FTC4" s="582"/>
      <c r="FTD4" s="582"/>
      <c r="FTE4" s="582"/>
      <c r="FTF4" s="582"/>
      <c r="FTG4" s="582"/>
      <c r="FTH4" s="582"/>
      <c r="FTI4" s="582"/>
      <c r="FTJ4" s="582"/>
      <c r="FTK4" s="582"/>
      <c r="FTL4" s="582"/>
      <c r="FTM4" s="582"/>
      <c r="FTN4" s="582"/>
      <c r="FTO4" s="582"/>
      <c r="FTP4" s="582"/>
      <c r="FTQ4" s="582"/>
      <c r="FTR4" s="582"/>
      <c r="FTS4" s="582"/>
      <c r="FTT4" s="582"/>
      <c r="FTU4" s="582"/>
      <c r="FTV4" s="582"/>
      <c r="FTW4" s="582"/>
      <c r="FTX4" s="582"/>
      <c r="FTY4" s="582"/>
      <c r="FTZ4" s="582"/>
      <c r="FUA4" s="582"/>
      <c r="FUB4" s="582"/>
      <c r="FUC4" s="582"/>
      <c r="FUD4" s="582"/>
      <c r="FUE4" s="582"/>
      <c r="FUF4" s="582"/>
      <c r="FUG4" s="582"/>
      <c r="FUH4" s="582"/>
      <c r="FUI4" s="582"/>
      <c r="FUJ4" s="582"/>
      <c r="FUK4" s="582"/>
      <c r="FUL4" s="582"/>
      <c r="FUM4" s="582"/>
      <c r="FUN4" s="582"/>
      <c r="FUO4" s="582"/>
      <c r="FUP4" s="582"/>
      <c r="FUQ4" s="582"/>
      <c r="FUR4" s="582"/>
      <c r="FUS4" s="582"/>
      <c r="FUT4" s="582"/>
      <c r="FUU4" s="582"/>
      <c r="FUV4" s="582"/>
      <c r="FUW4" s="582"/>
      <c r="FUX4" s="582"/>
      <c r="FUY4" s="582"/>
      <c r="FUZ4" s="582"/>
      <c r="FVA4" s="582"/>
      <c r="FVB4" s="582"/>
      <c r="FVC4" s="582"/>
      <c r="FVD4" s="582"/>
      <c r="FVE4" s="582"/>
      <c r="FVF4" s="582"/>
      <c r="FVG4" s="582"/>
      <c r="FVH4" s="582"/>
      <c r="FVI4" s="582"/>
      <c r="FVJ4" s="582"/>
      <c r="FVK4" s="582"/>
      <c r="FVL4" s="582"/>
      <c r="FVM4" s="582"/>
      <c r="FVN4" s="582"/>
      <c r="FVO4" s="582"/>
      <c r="FVP4" s="582"/>
      <c r="FVQ4" s="582"/>
      <c r="FVR4" s="582"/>
      <c r="FVS4" s="582"/>
      <c r="FVT4" s="582"/>
      <c r="FVU4" s="582"/>
      <c r="FVV4" s="582"/>
      <c r="FVW4" s="582"/>
      <c r="FVX4" s="582"/>
      <c r="FVY4" s="582"/>
      <c r="FVZ4" s="582"/>
      <c r="FWA4" s="582"/>
      <c r="FWB4" s="582"/>
      <c r="FWC4" s="582"/>
      <c r="FWD4" s="582"/>
      <c r="FWE4" s="582"/>
      <c r="FWF4" s="582"/>
      <c r="FWG4" s="582"/>
      <c r="FWH4" s="582"/>
      <c r="FWI4" s="582"/>
      <c r="FWJ4" s="582"/>
      <c r="FWK4" s="582"/>
      <c r="FWL4" s="582"/>
      <c r="FWM4" s="582"/>
      <c r="FWN4" s="582"/>
      <c r="FWO4" s="582"/>
      <c r="FWP4" s="582"/>
      <c r="FWQ4" s="582"/>
      <c r="FWR4" s="582"/>
      <c r="FWS4" s="582"/>
      <c r="FWT4" s="582"/>
      <c r="FWU4" s="582"/>
      <c r="FWV4" s="582"/>
      <c r="FWW4" s="582"/>
      <c r="FWX4" s="582"/>
      <c r="FWY4" s="582"/>
      <c r="FWZ4" s="582"/>
      <c r="FXA4" s="582"/>
      <c r="FXB4" s="582"/>
      <c r="FXC4" s="582"/>
      <c r="FXD4" s="582"/>
      <c r="FXE4" s="582"/>
      <c r="FXF4" s="582"/>
      <c r="FXG4" s="582"/>
      <c r="FXH4" s="582"/>
      <c r="FXI4" s="582"/>
      <c r="FXJ4" s="582"/>
      <c r="FXK4" s="582"/>
      <c r="FXL4" s="582"/>
      <c r="FXM4" s="582"/>
      <c r="FXN4" s="582"/>
      <c r="FXO4" s="582"/>
      <c r="FXP4" s="582"/>
      <c r="FXQ4" s="582"/>
      <c r="FXR4" s="582"/>
      <c r="FXS4" s="582"/>
      <c r="FXT4" s="582"/>
      <c r="FXU4" s="582"/>
      <c r="FXV4" s="582"/>
      <c r="FXW4" s="582"/>
      <c r="FXX4" s="582"/>
      <c r="FXY4" s="582"/>
      <c r="FXZ4" s="582"/>
      <c r="FYA4" s="582"/>
      <c r="FYB4" s="582"/>
      <c r="FYC4" s="582"/>
      <c r="FYD4" s="582"/>
      <c r="FYE4" s="582"/>
      <c r="FYF4" s="582"/>
      <c r="FYG4" s="582"/>
      <c r="FYH4" s="582"/>
      <c r="FYI4" s="582"/>
      <c r="FYJ4" s="582"/>
      <c r="FYK4" s="582"/>
      <c r="FYL4" s="582"/>
      <c r="FYM4" s="582"/>
      <c r="FYN4" s="582"/>
      <c r="FYO4" s="582"/>
      <c r="FYP4" s="582"/>
      <c r="FYQ4" s="582"/>
      <c r="FYR4" s="582"/>
      <c r="FYS4" s="582"/>
      <c r="FYT4" s="582"/>
      <c r="FYU4" s="582"/>
      <c r="FYV4" s="582"/>
      <c r="FYW4" s="582"/>
      <c r="FYX4" s="582"/>
      <c r="FYY4" s="582"/>
      <c r="FYZ4" s="582"/>
      <c r="FZA4" s="582"/>
      <c r="FZB4" s="582"/>
      <c r="FZC4" s="582"/>
      <c r="FZD4" s="582"/>
      <c r="FZE4" s="582"/>
      <c r="FZF4" s="582"/>
      <c r="FZG4" s="582"/>
      <c r="FZH4" s="582"/>
      <c r="FZI4" s="582"/>
      <c r="FZJ4" s="582"/>
      <c r="FZK4" s="582"/>
      <c r="FZL4" s="582"/>
      <c r="FZM4" s="582"/>
      <c r="FZN4" s="582"/>
      <c r="FZO4" s="582"/>
      <c r="FZP4" s="582"/>
      <c r="FZQ4" s="582"/>
      <c r="FZR4" s="582"/>
      <c r="FZS4" s="582"/>
      <c r="FZT4" s="582"/>
      <c r="FZU4" s="582"/>
      <c r="FZV4" s="582"/>
      <c r="FZW4" s="582"/>
      <c r="FZX4" s="582"/>
      <c r="FZY4" s="582"/>
      <c r="FZZ4" s="582"/>
      <c r="GAA4" s="582"/>
      <c r="GAB4" s="582"/>
      <c r="GAC4" s="582"/>
      <c r="GAD4" s="582"/>
      <c r="GAE4" s="582"/>
      <c r="GAF4" s="582"/>
      <c r="GAG4" s="582"/>
      <c r="GAH4" s="582"/>
      <c r="GAI4" s="582"/>
      <c r="GAJ4" s="582"/>
      <c r="GAK4" s="582"/>
      <c r="GAL4" s="582"/>
      <c r="GAM4" s="582"/>
      <c r="GAN4" s="582"/>
      <c r="GAO4" s="582"/>
      <c r="GAP4" s="582"/>
      <c r="GAQ4" s="582"/>
      <c r="GAR4" s="582"/>
      <c r="GAS4" s="582"/>
      <c r="GAT4" s="582"/>
      <c r="GAU4" s="582"/>
      <c r="GAV4" s="582"/>
      <c r="GAW4" s="582"/>
      <c r="GAX4" s="582"/>
      <c r="GAY4" s="582"/>
      <c r="GAZ4" s="582"/>
      <c r="GBA4" s="582"/>
      <c r="GBB4" s="582"/>
      <c r="GBC4" s="582"/>
      <c r="GBD4" s="582"/>
      <c r="GBE4" s="582"/>
      <c r="GBF4" s="582"/>
      <c r="GBG4" s="582"/>
      <c r="GBH4" s="582"/>
      <c r="GBI4" s="582"/>
      <c r="GBJ4" s="582"/>
      <c r="GBK4" s="582"/>
      <c r="GBL4" s="582"/>
      <c r="GBM4" s="582"/>
      <c r="GBN4" s="582"/>
      <c r="GBO4" s="582"/>
      <c r="GBP4" s="582"/>
      <c r="GBQ4" s="582"/>
      <c r="GBR4" s="582"/>
      <c r="GBS4" s="582"/>
      <c r="GBT4" s="582"/>
      <c r="GBU4" s="582"/>
      <c r="GBV4" s="582"/>
      <c r="GBW4" s="582"/>
      <c r="GBX4" s="582"/>
      <c r="GBY4" s="582"/>
      <c r="GBZ4" s="582"/>
      <c r="GCA4" s="582"/>
      <c r="GCB4" s="582"/>
      <c r="GCC4" s="582"/>
      <c r="GCD4" s="582"/>
      <c r="GCE4" s="582"/>
      <c r="GCF4" s="582"/>
      <c r="GCG4" s="582"/>
      <c r="GCH4" s="582"/>
      <c r="GCI4" s="582"/>
      <c r="GCJ4" s="582"/>
      <c r="GCK4" s="582"/>
      <c r="GCL4" s="582"/>
      <c r="GCM4" s="582"/>
      <c r="GCN4" s="582"/>
      <c r="GCO4" s="582"/>
      <c r="GCP4" s="582"/>
      <c r="GCQ4" s="582"/>
      <c r="GCR4" s="582"/>
      <c r="GCS4" s="582"/>
      <c r="GCT4" s="582"/>
      <c r="GCU4" s="582"/>
      <c r="GCV4" s="582"/>
      <c r="GCW4" s="582"/>
      <c r="GCX4" s="582"/>
      <c r="GCY4" s="582"/>
      <c r="GCZ4" s="582"/>
      <c r="GDA4" s="582"/>
      <c r="GDB4" s="582"/>
      <c r="GDC4" s="582"/>
      <c r="GDD4" s="582"/>
      <c r="GDE4" s="582"/>
      <c r="GDF4" s="582"/>
      <c r="GDG4" s="582"/>
      <c r="GDH4" s="582"/>
      <c r="GDI4" s="582"/>
      <c r="GDJ4" s="582"/>
      <c r="GDK4" s="582"/>
      <c r="GDL4" s="582"/>
      <c r="GDM4" s="582"/>
      <c r="GDN4" s="582"/>
      <c r="GDO4" s="582"/>
      <c r="GDP4" s="582"/>
      <c r="GDQ4" s="582"/>
      <c r="GDR4" s="582"/>
      <c r="GDS4" s="582"/>
      <c r="GDT4" s="582"/>
      <c r="GDU4" s="582"/>
      <c r="GDV4" s="582"/>
      <c r="GDW4" s="582"/>
      <c r="GDX4" s="582"/>
      <c r="GDY4" s="582"/>
      <c r="GDZ4" s="582"/>
      <c r="GEA4" s="582"/>
      <c r="GEB4" s="582"/>
      <c r="GEC4" s="582"/>
      <c r="GED4" s="582"/>
      <c r="GEE4" s="582"/>
      <c r="GEF4" s="582"/>
      <c r="GEG4" s="582"/>
      <c r="GEH4" s="582"/>
      <c r="GEI4" s="582"/>
      <c r="GEJ4" s="582"/>
      <c r="GEK4" s="582"/>
      <c r="GEL4" s="582"/>
      <c r="GEM4" s="582"/>
      <c r="GEN4" s="582"/>
      <c r="GEO4" s="582"/>
      <c r="GEP4" s="582"/>
      <c r="GEQ4" s="582"/>
      <c r="GER4" s="582"/>
      <c r="GES4" s="582"/>
      <c r="GET4" s="582"/>
      <c r="GEU4" s="582"/>
      <c r="GEV4" s="582"/>
      <c r="GEW4" s="582"/>
      <c r="GEX4" s="582"/>
      <c r="GEY4" s="582"/>
      <c r="GEZ4" s="582"/>
      <c r="GFA4" s="582"/>
      <c r="GFB4" s="582"/>
      <c r="GFC4" s="582"/>
      <c r="GFD4" s="582"/>
      <c r="GFE4" s="582"/>
      <c r="GFF4" s="582"/>
      <c r="GFG4" s="582"/>
      <c r="GFH4" s="582"/>
      <c r="GFI4" s="582"/>
      <c r="GFJ4" s="582"/>
      <c r="GFK4" s="582"/>
      <c r="GFL4" s="582"/>
      <c r="GFM4" s="582"/>
      <c r="GFN4" s="582"/>
      <c r="GFO4" s="582"/>
      <c r="GFP4" s="582"/>
      <c r="GFQ4" s="582"/>
      <c r="GFR4" s="582"/>
      <c r="GFS4" s="582"/>
      <c r="GFT4" s="582"/>
      <c r="GFU4" s="582"/>
      <c r="GFV4" s="582"/>
      <c r="GFW4" s="582"/>
      <c r="GFX4" s="582"/>
      <c r="GFY4" s="582"/>
      <c r="GFZ4" s="582"/>
      <c r="GGA4" s="582"/>
      <c r="GGB4" s="582"/>
      <c r="GGC4" s="582"/>
      <c r="GGD4" s="582"/>
      <c r="GGE4" s="582"/>
      <c r="GGF4" s="582"/>
      <c r="GGG4" s="582"/>
      <c r="GGH4" s="582"/>
      <c r="GGI4" s="582"/>
      <c r="GGJ4" s="582"/>
      <c r="GGK4" s="582"/>
      <c r="GGL4" s="582"/>
      <c r="GGM4" s="582"/>
      <c r="GGN4" s="582"/>
      <c r="GGO4" s="582"/>
      <c r="GGP4" s="582"/>
      <c r="GGQ4" s="582"/>
      <c r="GGR4" s="582"/>
      <c r="GGS4" s="582"/>
      <c r="GGT4" s="582"/>
      <c r="GGU4" s="582"/>
      <c r="GGV4" s="582"/>
      <c r="GGW4" s="582"/>
      <c r="GGX4" s="582"/>
      <c r="GGY4" s="582"/>
      <c r="GGZ4" s="582"/>
      <c r="GHA4" s="582"/>
      <c r="GHB4" s="582"/>
      <c r="GHC4" s="582"/>
      <c r="GHD4" s="582"/>
      <c r="GHE4" s="582"/>
      <c r="GHF4" s="582"/>
      <c r="GHG4" s="582"/>
      <c r="GHH4" s="582"/>
      <c r="GHI4" s="582"/>
      <c r="GHJ4" s="582"/>
      <c r="GHK4" s="582"/>
      <c r="GHL4" s="582"/>
      <c r="GHM4" s="582"/>
      <c r="GHN4" s="582"/>
      <c r="GHO4" s="582"/>
      <c r="GHP4" s="582"/>
      <c r="GHQ4" s="582"/>
      <c r="GHR4" s="582"/>
      <c r="GHS4" s="582"/>
      <c r="GHT4" s="582"/>
      <c r="GHU4" s="582"/>
      <c r="GHV4" s="582"/>
      <c r="GHW4" s="582"/>
      <c r="GHX4" s="582"/>
      <c r="GHY4" s="582"/>
      <c r="GHZ4" s="582"/>
      <c r="GIA4" s="582"/>
      <c r="GIB4" s="582"/>
      <c r="GIC4" s="582"/>
      <c r="GID4" s="582"/>
      <c r="GIE4" s="582"/>
      <c r="GIF4" s="582"/>
      <c r="GIG4" s="582"/>
      <c r="GIH4" s="582"/>
      <c r="GII4" s="582"/>
      <c r="GIJ4" s="582"/>
      <c r="GIK4" s="582"/>
      <c r="GIL4" s="582"/>
      <c r="GIM4" s="582"/>
      <c r="GIN4" s="582"/>
      <c r="GIO4" s="582"/>
      <c r="GIP4" s="582"/>
      <c r="GIQ4" s="582"/>
      <c r="GIR4" s="582"/>
      <c r="GIS4" s="582"/>
      <c r="GIT4" s="582"/>
      <c r="GIU4" s="582"/>
      <c r="GIV4" s="582"/>
      <c r="GIW4" s="582"/>
      <c r="GIX4" s="582"/>
      <c r="GIY4" s="582"/>
      <c r="GIZ4" s="582"/>
      <c r="GJA4" s="582"/>
      <c r="GJB4" s="582"/>
      <c r="GJC4" s="582"/>
      <c r="GJD4" s="582"/>
      <c r="GJE4" s="582"/>
      <c r="GJF4" s="582"/>
      <c r="GJG4" s="582"/>
      <c r="GJH4" s="582"/>
      <c r="GJI4" s="582"/>
      <c r="GJJ4" s="582"/>
      <c r="GJK4" s="582"/>
      <c r="GJL4" s="582"/>
      <c r="GJM4" s="582"/>
      <c r="GJN4" s="582"/>
      <c r="GJO4" s="582"/>
      <c r="GJP4" s="582"/>
      <c r="GJQ4" s="582"/>
      <c r="GJR4" s="582"/>
      <c r="GJS4" s="582"/>
      <c r="GJT4" s="582"/>
      <c r="GJU4" s="582"/>
      <c r="GJV4" s="582"/>
      <c r="GJW4" s="582"/>
      <c r="GJX4" s="582"/>
      <c r="GJY4" s="582"/>
      <c r="GJZ4" s="582"/>
      <c r="GKA4" s="582"/>
      <c r="GKB4" s="582"/>
      <c r="GKC4" s="582"/>
      <c r="GKD4" s="582"/>
      <c r="GKE4" s="582"/>
      <c r="GKF4" s="582"/>
      <c r="GKG4" s="582"/>
      <c r="GKH4" s="582"/>
      <c r="GKI4" s="582"/>
      <c r="GKJ4" s="582"/>
      <c r="GKK4" s="582"/>
      <c r="GKL4" s="582"/>
      <c r="GKM4" s="582"/>
      <c r="GKN4" s="582"/>
      <c r="GKO4" s="582"/>
      <c r="GKP4" s="582"/>
      <c r="GKQ4" s="582"/>
      <c r="GKR4" s="582"/>
      <c r="GKS4" s="582"/>
      <c r="GKT4" s="582"/>
      <c r="GKU4" s="582"/>
      <c r="GKV4" s="582"/>
      <c r="GKW4" s="582"/>
      <c r="GKX4" s="582"/>
      <c r="GKY4" s="582"/>
      <c r="GKZ4" s="582"/>
      <c r="GLA4" s="582"/>
      <c r="GLB4" s="582"/>
      <c r="GLC4" s="582"/>
      <c r="GLD4" s="582"/>
      <c r="GLE4" s="582"/>
      <c r="GLF4" s="582"/>
      <c r="GLG4" s="582"/>
      <c r="GLH4" s="582"/>
      <c r="GLI4" s="582"/>
      <c r="GLJ4" s="582"/>
      <c r="GLK4" s="582"/>
      <c r="GLL4" s="582"/>
      <c r="GLM4" s="582"/>
      <c r="GLN4" s="582"/>
      <c r="GLO4" s="582"/>
      <c r="GLP4" s="582"/>
      <c r="GLQ4" s="582"/>
      <c r="GLR4" s="582"/>
      <c r="GLS4" s="582"/>
      <c r="GLT4" s="582"/>
      <c r="GLU4" s="582"/>
      <c r="GLV4" s="582"/>
      <c r="GLW4" s="582"/>
      <c r="GLX4" s="582"/>
      <c r="GLY4" s="582"/>
      <c r="GLZ4" s="582"/>
      <c r="GMA4" s="582"/>
      <c r="GMB4" s="582"/>
      <c r="GMC4" s="582"/>
      <c r="GMD4" s="582"/>
      <c r="GME4" s="582"/>
      <c r="GMF4" s="582"/>
      <c r="GMG4" s="582"/>
      <c r="GMH4" s="582"/>
      <c r="GMI4" s="582"/>
      <c r="GMJ4" s="582"/>
      <c r="GMK4" s="582"/>
      <c r="GML4" s="582"/>
      <c r="GMM4" s="582"/>
      <c r="GMN4" s="582"/>
      <c r="GMO4" s="582"/>
      <c r="GMP4" s="582"/>
      <c r="GMQ4" s="582"/>
      <c r="GMR4" s="582"/>
      <c r="GMS4" s="582"/>
      <c r="GMT4" s="582"/>
      <c r="GMU4" s="582"/>
      <c r="GMV4" s="582"/>
      <c r="GMW4" s="582"/>
      <c r="GMX4" s="582"/>
      <c r="GMY4" s="582"/>
      <c r="GMZ4" s="582"/>
      <c r="GNA4" s="582"/>
      <c r="GNB4" s="582"/>
      <c r="GNC4" s="582"/>
      <c r="GND4" s="582"/>
      <c r="GNE4" s="582"/>
      <c r="GNF4" s="582"/>
      <c r="GNG4" s="582"/>
      <c r="GNH4" s="582"/>
      <c r="GNI4" s="582"/>
      <c r="GNJ4" s="582"/>
      <c r="GNK4" s="582"/>
      <c r="GNL4" s="582"/>
      <c r="GNM4" s="582"/>
      <c r="GNN4" s="582"/>
      <c r="GNO4" s="582"/>
      <c r="GNP4" s="582"/>
      <c r="GNQ4" s="582"/>
      <c r="GNR4" s="582"/>
      <c r="GNS4" s="582"/>
      <c r="GNT4" s="582"/>
      <c r="GNU4" s="582"/>
      <c r="GNV4" s="582"/>
      <c r="GNW4" s="582"/>
      <c r="GNX4" s="582"/>
      <c r="GNY4" s="582"/>
      <c r="GNZ4" s="582"/>
      <c r="GOA4" s="582"/>
      <c r="GOB4" s="582"/>
      <c r="GOC4" s="582"/>
      <c r="GOD4" s="582"/>
      <c r="GOE4" s="582"/>
      <c r="GOF4" s="582"/>
      <c r="GOG4" s="582"/>
      <c r="GOH4" s="582"/>
      <c r="GOI4" s="582"/>
      <c r="GOJ4" s="582"/>
      <c r="GOK4" s="582"/>
      <c r="GOL4" s="582"/>
      <c r="GOM4" s="582"/>
      <c r="GON4" s="582"/>
      <c r="GOO4" s="582"/>
      <c r="GOP4" s="582"/>
      <c r="GOQ4" s="582"/>
      <c r="GOR4" s="582"/>
      <c r="GOS4" s="582"/>
      <c r="GOT4" s="582"/>
      <c r="GOU4" s="582"/>
      <c r="GOV4" s="582"/>
      <c r="GOW4" s="582"/>
      <c r="GOX4" s="582"/>
      <c r="GOY4" s="582"/>
      <c r="GOZ4" s="582"/>
      <c r="GPA4" s="582"/>
      <c r="GPB4" s="582"/>
      <c r="GPC4" s="582"/>
      <c r="GPD4" s="582"/>
      <c r="GPE4" s="582"/>
      <c r="GPF4" s="582"/>
      <c r="GPG4" s="582"/>
      <c r="GPH4" s="582"/>
      <c r="GPI4" s="582"/>
      <c r="GPJ4" s="582"/>
      <c r="GPK4" s="582"/>
      <c r="GPL4" s="582"/>
      <c r="GPM4" s="582"/>
      <c r="GPN4" s="582"/>
      <c r="GPO4" s="582"/>
      <c r="GPP4" s="582"/>
      <c r="GPQ4" s="582"/>
      <c r="GPR4" s="582"/>
      <c r="GPS4" s="582"/>
      <c r="GPT4" s="582"/>
      <c r="GPU4" s="582"/>
      <c r="GPV4" s="582"/>
      <c r="GPW4" s="582"/>
      <c r="GPX4" s="582"/>
      <c r="GPY4" s="582"/>
      <c r="GPZ4" s="582"/>
      <c r="GQA4" s="582"/>
      <c r="GQB4" s="582"/>
      <c r="GQC4" s="582"/>
      <c r="GQD4" s="582"/>
      <c r="GQE4" s="582"/>
      <c r="GQF4" s="582"/>
      <c r="GQG4" s="582"/>
      <c r="GQH4" s="582"/>
      <c r="GQI4" s="582"/>
      <c r="GQJ4" s="582"/>
      <c r="GQK4" s="582"/>
      <c r="GQL4" s="582"/>
      <c r="GQM4" s="582"/>
      <c r="GQN4" s="582"/>
      <c r="GQO4" s="582"/>
      <c r="GQP4" s="582"/>
      <c r="GQQ4" s="582"/>
      <c r="GQR4" s="582"/>
      <c r="GQS4" s="582"/>
      <c r="GQT4" s="582"/>
      <c r="GQU4" s="582"/>
      <c r="GQV4" s="582"/>
      <c r="GQW4" s="582"/>
      <c r="GQX4" s="582"/>
      <c r="GQY4" s="582"/>
      <c r="GQZ4" s="582"/>
      <c r="GRA4" s="582"/>
      <c r="GRB4" s="582"/>
      <c r="GRC4" s="582"/>
      <c r="GRD4" s="582"/>
      <c r="GRE4" s="582"/>
      <c r="GRF4" s="582"/>
      <c r="GRG4" s="582"/>
      <c r="GRH4" s="582"/>
      <c r="GRI4" s="582"/>
      <c r="GRJ4" s="582"/>
      <c r="GRK4" s="582"/>
      <c r="GRL4" s="582"/>
      <c r="GRM4" s="582"/>
      <c r="GRN4" s="582"/>
      <c r="GRO4" s="582"/>
      <c r="GRP4" s="582"/>
      <c r="GRQ4" s="582"/>
      <c r="GRR4" s="582"/>
      <c r="GRS4" s="582"/>
      <c r="GRT4" s="582"/>
      <c r="GRU4" s="582"/>
      <c r="GRV4" s="582"/>
      <c r="GRW4" s="582"/>
      <c r="GRX4" s="582"/>
      <c r="GRY4" s="582"/>
      <c r="GRZ4" s="582"/>
      <c r="GSA4" s="582"/>
      <c r="GSB4" s="582"/>
      <c r="GSC4" s="582"/>
      <c r="GSD4" s="582"/>
      <c r="GSE4" s="582"/>
      <c r="GSF4" s="582"/>
      <c r="GSG4" s="582"/>
      <c r="GSH4" s="582"/>
      <c r="GSI4" s="582"/>
      <c r="GSJ4" s="582"/>
      <c r="GSK4" s="582"/>
      <c r="GSL4" s="582"/>
      <c r="GSM4" s="582"/>
      <c r="GSN4" s="582"/>
      <c r="GSO4" s="582"/>
      <c r="GSP4" s="582"/>
      <c r="GSQ4" s="582"/>
      <c r="GSR4" s="582"/>
      <c r="GSS4" s="582"/>
      <c r="GST4" s="582"/>
      <c r="GSU4" s="582"/>
      <c r="GSV4" s="582"/>
      <c r="GSW4" s="582"/>
      <c r="GSX4" s="582"/>
      <c r="GSY4" s="582"/>
      <c r="GSZ4" s="582"/>
      <c r="GTA4" s="582"/>
      <c r="GTB4" s="582"/>
      <c r="GTC4" s="582"/>
      <c r="GTD4" s="582"/>
      <c r="GTE4" s="582"/>
      <c r="GTF4" s="582"/>
      <c r="GTG4" s="582"/>
      <c r="GTH4" s="582"/>
      <c r="GTI4" s="582"/>
      <c r="GTJ4" s="582"/>
      <c r="GTK4" s="582"/>
      <c r="GTL4" s="582"/>
      <c r="GTM4" s="582"/>
      <c r="GTN4" s="582"/>
      <c r="GTO4" s="582"/>
      <c r="GTP4" s="582"/>
      <c r="GTQ4" s="582"/>
      <c r="GTR4" s="582"/>
      <c r="GTS4" s="582"/>
      <c r="GTT4" s="582"/>
      <c r="GTU4" s="582"/>
      <c r="GTV4" s="582"/>
      <c r="GTW4" s="582"/>
      <c r="GTX4" s="582"/>
      <c r="GTY4" s="582"/>
      <c r="GTZ4" s="582"/>
      <c r="GUA4" s="582"/>
      <c r="GUB4" s="582"/>
      <c r="GUC4" s="582"/>
    </row>
    <row r="5" spans="1:5281" ht="19.5">
      <c r="A5" s="594">
        <v>2</v>
      </c>
      <c r="B5" s="595" t="s">
        <v>771</v>
      </c>
      <c r="C5" s="596"/>
      <c r="D5" s="597">
        <v>6227315</v>
      </c>
      <c r="E5" s="597" t="s">
        <v>2017</v>
      </c>
      <c r="F5" s="598">
        <f t="shared" si="0"/>
        <v>6227315</v>
      </c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  <c r="AM5" s="582"/>
      <c r="AN5" s="582"/>
      <c r="AO5" s="582"/>
      <c r="AP5" s="582"/>
      <c r="AQ5" s="582"/>
      <c r="AR5" s="582"/>
      <c r="AS5" s="582"/>
      <c r="AT5" s="582"/>
      <c r="AU5" s="582"/>
      <c r="AV5" s="582"/>
      <c r="AW5" s="582"/>
      <c r="AX5" s="582"/>
      <c r="AY5" s="582"/>
      <c r="AZ5" s="582"/>
      <c r="BA5" s="582"/>
      <c r="BB5" s="582"/>
      <c r="BC5" s="582"/>
      <c r="BD5" s="582"/>
      <c r="BE5" s="582"/>
      <c r="BF5" s="582"/>
      <c r="BG5" s="582"/>
      <c r="BH5" s="582"/>
      <c r="BI5" s="582"/>
      <c r="BJ5" s="582"/>
      <c r="BK5" s="582"/>
      <c r="BL5" s="582"/>
      <c r="BM5" s="582"/>
      <c r="BN5" s="582"/>
      <c r="BO5" s="582"/>
      <c r="BP5" s="582"/>
      <c r="BQ5" s="582"/>
      <c r="BR5" s="582"/>
      <c r="BS5" s="582"/>
      <c r="BT5" s="582"/>
      <c r="BU5" s="582"/>
      <c r="BV5" s="582"/>
      <c r="BW5" s="582"/>
      <c r="BX5" s="582"/>
      <c r="BY5" s="582"/>
      <c r="BZ5" s="582"/>
      <c r="CA5" s="582"/>
      <c r="CB5" s="582"/>
      <c r="CC5" s="582"/>
      <c r="CD5" s="582"/>
      <c r="CE5" s="582"/>
      <c r="CF5" s="582"/>
      <c r="CG5" s="582"/>
      <c r="CH5" s="582"/>
      <c r="CI5" s="582"/>
      <c r="CJ5" s="582"/>
      <c r="CK5" s="582"/>
      <c r="CL5" s="582"/>
      <c r="CM5" s="582"/>
      <c r="CN5" s="582"/>
      <c r="CO5" s="582"/>
      <c r="CP5" s="582"/>
      <c r="CQ5" s="582"/>
      <c r="CR5" s="582"/>
      <c r="CS5" s="582"/>
      <c r="CT5" s="582"/>
      <c r="CU5" s="582"/>
      <c r="CV5" s="582"/>
      <c r="CW5" s="582"/>
      <c r="CX5" s="582"/>
      <c r="CY5" s="582"/>
      <c r="CZ5" s="582"/>
      <c r="DA5" s="582"/>
      <c r="DB5" s="582"/>
      <c r="DC5" s="582"/>
      <c r="DD5" s="582"/>
      <c r="DE5" s="582"/>
      <c r="DF5" s="582"/>
      <c r="DG5" s="582"/>
      <c r="DH5" s="582"/>
      <c r="DI5" s="582"/>
      <c r="DJ5" s="582"/>
      <c r="DK5" s="582"/>
      <c r="DL5" s="582"/>
      <c r="DM5" s="582"/>
      <c r="DN5" s="582"/>
      <c r="DO5" s="582"/>
      <c r="DP5" s="582"/>
      <c r="DQ5" s="582"/>
      <c r="DR5" s="582"/>
      <c r="DS5" s="582"/>
      <c r="DT5" s="582"/>
      <c r="DU5" s="582"/>
      <c r="DV5" s="582"/>
      <c r="DW5" s="582"/>
      <c r="DX5" s="582"/>
      <c r="DY5" s="582"/>
      <c r="DZ5" s="582"/>
      <c r="EA5" s="582"/>
      <c r="EB5" s="582"/>
      <c r="EC5" s="582"/>
      <c r="ED5" s="582"/>
      <c r="EE5" s="582"/>
      <c r="EF5" s="582"/>
      <c r="EG5" s="582"/>
      <c r="EH5" s="582"/>
      <c r="EI5" s="582"/>
      <c r="EJ5" s="582"/>
      <c r="EK5" s="582"/>
      <c r="EL5" s="582"/>
      <c r="EM5" s="582"/>
      <c r="EN5" s="582"/>
      <c r="EO5" s="582"/>
      <c r="EP5" s="582"/>
      <c r="EQ5" s="582"/>
      <c r="ER5" s="582"/>
      <c r="ES5" s="582"/>
      <c r="ET5" s="582"/>
      <c r="EU5" s="582"/>
      <c r="EV5" s="582"/>
      <c r="EW5" s="582"/>
      <c r="EX5" s="582"/>
      <c r="EY5" s="582"/>
      <c r="EZ5" s="582"/>
      <c r="FA5" s="582"/>
      <c r="FB5" s="582"/>
      <c r="FC5" s="582"/>
      <c r="FD5" s="582"/>
      <c r="FE5" s="582"/>
      <c r="FF5" s="582"/>
      <c r="FG5" s="582"/>
      <c r="FH5" s="582"/>
      <c r="FI5" s="582"/>
      <c r="FJ5" s="582"/>
      <c r="FK5" s="582"/>
      <c r="FL5" s="582"/>
      <c r="FM5" s="582"/>
      <c r="FN5" s="582"/>
      <c r="FO5" s="582"/>
      <c r="FP5" s="582"/>
      <c r="FQ5" s="582"/>
      <c r="FR5" s="582"/>
      <c r="FS5" s="582"/>
      <c r="FT5" s="582"/>
      <c r="FU5" s="582"/>
      <c r="FV5" s="582"/>
      <c r="FW5" s="582"/>
      <c r="FX5" s="582"/>
      <c r="FY5" s="582"/>
      <c r="FZ5" s="582"/>
      <c r="GA5" s="582"/>
      <c r="GB5" s="582"/>
      <c r="GC5" s="582"/>
      <c r="GD5" s="582"/>
      <c r="GE5" s="582"/>
      <c r="GF5" s="582"/>
      <c r="GG5" s="582"/>
      <c r="GH5" s="582"/>
      <c r="GI5" s="582"/>
      <c r="GJ5" s="582"/>
      <c r="GK5" s="582"/>
      <c r="GL5" s="582"/>
      <c r="GM5" s="582"/>
      <c r="GN5" s="582"/>
      <c r="GO5" s="582"/>
      <c r="GP5" s="582"/>
      <c r="GQ5" s="582"/>
      <c r="GR5" s="582"/>
      <c r="GS5" s="582"/>
      <c r="GT5" s="582"/>
      <c r="GU5" s="582"/>
      <c r="GV5" s="582"/>
      <c r="GW5" s="582"/>
      <c r="GX5" s="582"/>
      <c r="GY5" s="582"/>
      <c r="GZ5" s="582"/>
      <c r="HA5" s="582"/>
      <c r="HB5" s="582"/>
      <c r="HC5" s="582"/>
      <c r="HD5" s="582"/>
      <c r="HE5" s="582"/>
      <c r="HF5" s="582"/>
      <c r="HG5" s="582"/>
      <c r="HH5" s="582"/>
      <c r="HI5" s="582"/>
      <c r="HJ5" s="582"/>
      <c r="HK5" s="582"/>
      <c r="HL5" s="582"/>
      <c r="HM5" s="582"/>
      <c r="HN5" s="582"/>
      <c r="HO5" s="582"/>
      <c r="HP5" s="582"/>
      <c r="HQ5" s="582"/>
      <c r="HR5" s="582"/>
      <c r="HS5" s="582"/>
      <c r="HT5" s="582"/>
      <c r="HU5" s="582"/>
      <c r="HV5" s="582"/>
      <c r="HW5" s="582"/>
      <c r="HX5" s="582"/>
      <c r="HY5" s="582"/>
      <c r="HZ5" s="582"/>
      <c r="IA5" s="582"/>
      <c r="IB5" s="582"/>
      <c r="IC5" s="582"/>
      <c r="ID5" s="582"/>
      <c r="IE5" s="582"/>
      <c r="IF5" s="582"/>
      <c r="IG5" s="582"/>
      <c r="IH5" s="582"/>
      <c r="II5" s="582"/>
      <c r="IJ5" s="582"/>
      <c r="IK5" s="582"/>
      <c r="IL5" s="582"/>
      <c r="IM5" s="582"/>
      <c r="IN5" s="582"/>
      <c r="IO5" s="582"/>
      <c r="IP5" s="582"/>
      <c r="IQ5" s="582"/>
      <c r="IR5" s="582"/>
      <c r="IS5" s="582"/>
      <c r="IT5" s="582"/>
      <c r="IU5" s="582"/>
      <c r="IV5" s="582"/>
      <c r="IW5" s="582"/>
      <c r="IX5" s="582"/>
      <c r="IY5" s="582"/>
      <c r="IZ5" s="582"/>
      <c r="JA5" s="582"/>
      <c r="JB5" s="582"/>
      <c r="JC5" s="582"/>
      <c r="JD5" s="582"/>
      <c r="JE5" s="582"/>
      <c r="JF5" s="582"/>
      <c r="JG5" s="582"/>
      <c r="JH5" s="582"/>
      <c r="JI5" s="582"/>
      <c r="JJ5" s="582"/>
      <c r="JK5" s="582"/>
      <c r="JL5" s="582"/>
      <c r="JM5" s="582"/>
      <c r="JN5" s="582"/>
      <c r="JO5" s="582"/>
      <c r="JP5" s="582"/>
      <c r="JQ5" s="582"/>
      <c r="JR5" s="582"/>
      <c r="JS5" s="582"/>
      <c r="JT5" s="582"/>
      <c r="JU5" s="582"/>
      <c r="JV5" s="582"/>
      <c r="JW5" s="582"/>
      <c r="JX5" s="582"/>
      <c r="JY5" s="582"/>
      <c r="JZ5" s="582"/>
      <c r="KA5" s="582"/>
      <c r="KB5" s="582"/>
      <c r="KC5" s="582"/>
      <c r="KD5" s="582"/>
      <c r="KE5" s="582"/>
      <c r="KF5" s="582"/>
      <c r="KG5" s="582"/>
      <c r="KH5" s="582"/>
      <c r="KI5" s="582"/>
      <c r="KJ5" s="582"/>
      <c r="KK5" s="582"/>
      <c r="KL5" s="582"/>
      <c r="KM5" s="582"/>
      <c r="KN5" s="582"/>
      <c r="KO5" s="582"/>
      <c r="KP5" s="582"/>
      <c r="KQ5" s="582"/>
      <c r="KR5" s="582"/>
      <c r="KS5" s="582"/>
      <c r="KT5" s="582"/>
      <c r="KU5" s="582"/>
      <c r="KV5" s="582"/>
      <c r="KW5" s="582"/>
      <c r="KX5" s="582"/>
      <c r="KY5" s="582"/>
      <c r="KZ5" s="582"/>
      <c r="LA5" s="582"/>
      <c r="LB5" s="582"/>
      <c r="LC5" s="582"/>
      <c r="LD5" s="582"/>
      <c r="LE5" s="582"/>
      <c r="LF5" s="582"/>
      <c r="LG5" s="582"/>
      <c r="LH5" s="582"/>
      <c r="LI5" s="582"/>
      <c r="LJ5" s="582"/>
      <c r="LK5" s="582"/>
      <c r="LL5" s="582"/>
      <c r="LM5" s="582"/>
      <c r="LN5" s="582"/>
      <c r="LO5" s="582"/>
      <c r="LP5" s="582"/>
      <c r="LQ5" s="582"/>
      <c r="LR5" s="582"/>
      <c r="LS5" s="582"/>
      <c r="LT5" s="582"/>
      <c r="LU5" s="582"/>
      <c r="LV5" s="582"/>
      <c r="LW5" s="582"/>
      <c r="LX5" s="582"/>
      <c r="LY5" s="582"/>
      <c r="LZ5" s="582"/>
      <c r="MA5" s="582"/>
      <c r="MB5" s="582"/>
      <c r="MC5" s="582"/>
      <c r="MD5" s="582"/>
      <c r="ME5" s="582"/>
      <c r="MF5" s="582"/>
      <c r="MG5" s="582"/>
      <c r="MH5" s="582"/>
      <c r="MI5" s="582"/>
      <c r="MJ5" s="582"/>
      <c r="MK5" s="582"/>
      <c r="ML5" s="582"/>
      <c r="MM5" s="582"/>
      <c r="MN5" s="582"/>
      <c r="MO5" s="582"/>
      <c r="MP5" s="582"/>
      <c r="MQ5" s="582"/>
      <c r="MR5" s="582"/>
      <c r="MS5" s="582"/>
      <c r="MT5" s="582"/>
      <c r="MU5" s="582"/>
      <c r="MV5" s="582"/>
      <c r="MW5" s="582"/>
      <c r="MX5" s="582"/>
      <c r="MY5" s="582"/>
      <c r="MZ5" s="582"/>
      <c r="NA5" s="582"/>
      <c r="NB5" s="582"/>
      <c r="NC5" s="582"/>
      <c r="ND5" s="582"/>
      <c r="NE5" s="582"/>
      <c r="NF5" s="582"/>
      <c r="NG5" s="582"/>
      <c r="NH5" s="582"/>
      <c r="NI5" s="582"/>
      <c r="NJ5" s="582"/>
      <c r="NK5" s="582"/>
      <c r="NL5" s="582"/>
      <c r="NM5" s="582"/>
      <c r="NN5" s="582"/>
      <c r="NO5" s="582"/>
      <c r="NP5" s="582"/>
      <c r="NQ5" s="582"/>
      <c r="NR5" s="582"/>
      <c r="NS5" s="582"/>
      <c r="NT5" s="582"/>
      <c r="NU5" s="582"/>
      <c r="NV5" s="582"/>
      <c r="NW5" s="582"/>
      <c r="NX5" s="582"/>
      <c r="NY5" s="582"/>
      <c r="NZ5" s="582"/>
      <c r="OA5" s="582"/>
      <c r="OB5" s="582"/>
      <c r="OC5" s="582"/>
      <c r="OD5" s="582"/>
      <c r="OE5" s="582"/>
      <c r="OF5" s="582"/>
      <c r="OG5" s="582"/>
      <c r="OH5" s="582"/>
      <c r="OI5" s="582"/>
      <c r="OJ5" s="582"/>
      <c r="OK5" s="582"/>
      <c r="OL5" s="582"/>
      <c r="OM5" s="582"/>
      <c r="ON5" s="582"/>
      <c r="OO5" s="582"/>
      <c r="OP5" s="582"/>
      <c r="OQ5" s="582"/>
      <c r="OR5" s="582"/>
      <c r="OS5" s="582"/>
      <c r="OT5" s="582"/>
      <c r="OU5" s="582"/>
      <c r="OV5" s="582"/>
      <c r="OW5" s="582"/>
      <c r="OX5" s="582"/>
      <c r="OY5" s="582"/>
      <c r="OZ5" s="582"/>
      <c r="PA5" s="582"/>
      <c r="PB5" s="582"/>
      <c r="PC5" s="582"/>
      <c r="PD5" s="582"/>
      <c r="PE5" s="582"/>
      <c r="PF5" s="582"/>
      <c r="PG5" s="582"/>
      <c r="PH5" s="582"/>
      <c r="PI5" s="582"/>
      <c r="PJ5" s="582"/>
      <c r="PK5" s="582"/>
      <c r="PL5" s="582"/>
      <c r="PM5" s="582"/>
      <c r="PN5" s="582"/>
      <c r="PO5" s="582"/>
      <c r="PP5" s="582"/>
      <c r="PQ5" s="582"/>
      <c r="PR5" s="582"/>
      <c r="PS5" s="582"/>
      <c r="PT5" s="582"/>
      <c r="PU5" s="582"/>
      <c r="PV5" s="582"/>
      <c r="PW5" s="582"/>
      <c r="PX5" s="582"/>
      <c r="PY5" s="582"/>
      <c r="PZ5" s="582"/>
      <c r="QA5" s="582"/>
      <c r="QB5" s="582"/>
      <c r="QC5" s="582"/>
      <c r="QD5" s="582"/>
      <c r="QE5" s="582"/>
      <c r="QF5" s="582"/>
      <c r="QG5" s="582"/>
      <c r="QH5" s="582"/>
      <c r="QI5" s="582"/>
      <c r="QJ5" s="582"/>
      <c r="QK5" s="582"/>
      <c r="QL5" s="582"/>
      <c r="QM5" s="582"/>
      <c r="QN5" s="582"/>
      <c r="QO5" s="582"/>
      <c r="QP5" s="582"/>
      <c r="QQ5" s="582"/>
      <c r="QR5" s="582"/>
      <c r="QS5" s="582"/>
      <c r="QT5" s="582"/>
      <c r="QU5" s="582"/>
      <c r="QV5" s="582"/>
      <c r="QW5" s="582"/>
      <c r="QX5" s="582"/>
      <c r="QY5" s="582"/>
      <c r="QZ5" s="582"/>
      <c r="RA5" s="582"/>
      <c r="RB5" s="582"/>
      <c r="RC5" s="582"/>
      <c r="RD5" s="582"/>
      <c r="RE5" s="582"/>
      <c r="RF5" s="582"/>
      <c r="RG5" s="582"/>
      <c r="RH5" s="582"/>
      <c r="RI5" s="582"/>
      <c r="RJ5" s="582"/>
      <c r="RK5" s="582"/>
      <c r="RL5" s="582"/>
      <c r="RM5" s="582"/>
      <c r="RN5" s="582"/>
      <c r="RO5" s="582"/>
      <c r="RP5" s="582"/>
      <c r="RQ5" s="582"/>
      <c r="RR5" s="582"/>
      <c r="RS5" s="582"/>
      <c r="RT5" s="582"/>
      <c r="RU5" s="582"/>
      <c r="RV5" s="582"/>
      <c r="RW5" s="582"/>
      <c r="RX5" s="582"/>
      <c r="RY5" s="582"/>
      <c r="RZ5" s="582"/>
      <c r="SA5" s="582"/>
      <c r="SB5" s="582"/>
      <c r="SC5" s="582"/>
      <c r="SD5" s="582"/>
      <c r="SE5" s="582"/>
      <c r="SF5" s="582"/>
      <c r="SG5" s="582"/>
      <c r="SH5" s="582"/>
      <c r="SI5" s="582"/>
      <c r="SJ5" s="582"/>
      <c r="SK5" s="582"/>
      <c r="SL5" s="582"/>
      <c r="SM5" s="582"/>
      <c r="SN5" s="582"/>
      <c r="SO5" s="582"/>
      <c r="SP5" s="582"/>
      <c r="SQ5" s="582"/>
      <c r="SR5" s="582"/>
      <c r="SS5" s="582"/>
      <c r="ST5" s="582"/>
      <c r="SU5" s="582"/>
      <c r="SV5" s="582"/>
      <c r="SW5" s="582"/>
      <c r="SX5" s="582"/>
      <c r="SY5" s="582"/>
      <c r="SZ5" s="582"/>
      <c r="TA5" s="582"/>
      <c r="TB5" s="582"/>
      <c r="TC5" s="582"/>
      <c r="TD5" s="582"/>
      <c r="TE5" s="582"/>
      <c r="TF5" s="582"/>
      <c r="TG5" s="582"/>
      <c r="TH5" s="582"/>
      <c r="TI5" s="582"/>
      <c r="TJ5" s="582"/>
      <c r="TK5" s="582"/>
      <c r="TL5" s="582"/>
      <c r="TM5" s="582"/>
      <c r="TN5" s="582"/>
      <c r="TO5" s="582"/>
      <c r="TP5" s="582"/>
      <c r="TQ5" s="582"/>
      <c r="TR5" s="582"/>
      <c r="TS5" s="582"/>
      <c r="TT5" s="582"/>
      <c r="TU5" s="582"/>
      <c r="TV5" s="582"/>
      <c r="TW5" s="582"/>
      <c r="TX5" s="582"/>
      <c r="TY5" s="582"/>
      <c r="TZ5" s="582"/>
      <c r="UA5" s="582"/>
      <c r="UB5" s="582"/>
      <c r="UC5" s="582"/>
      <c r="UD5" s="582"/>
      <c r="UE5" s="582"/>
      <c r="UF5" s="582"/>
      <c r="UG5" s="582"/>
      <c r="UH5" s="582"/>
      <c r="UI5" s="582"/>
      <c r="UJ5" s="582"/>
      <c r="UK5" s="582"/>
      <c r="UL5" s="582"/>
      <c r="UM5" s="582"/>
      <c r="UN5" s="582"/>
      <c r="UO5" s="582"/>
      <c r="UP5" s="582"/>
      <c r="UQ5" s="582"/>
      <c r="UR5" s="582"/>
      <c r="US5" s="582"/>
      <c r="UT5" s="582"/>
      <c r="UU5" s="582"/>
      <c r="UV5" s="582"/>
      <c r="UW5" s="582"/>
      <c r="UX5" s="582"/>
      <c r="UY5" s="582"/>
      <c r="UZ5" s="582"/>
      <c r="VA5" s="582"/>
      <c r="VB5" s="582"/>
      <c r="VC5" s="582"/>
      <c r="VD5" s="582"/>
      <c r="VE5" s="582"/>
      <c r="VF5" s="582"/>
      <c r="VG5" s="582"/>
      <c r="VH5" s="582"/>
      <c r="VI5" s="582"/>
      <c r="VJ5" s="582"/>
      <c r="VK5" s="582"/>
      <c r="VL5" s="582"/>
      <c r="VM5" s="582"/>
      <c r="VN5" s="582"/>
      <c r="VO5" s="582"/>
      <c r="VP5" s="582"/>
      <c r="VQ5" s="582"/>
      <c r="VR5" s="582"/>
      <c r="VS5" s="582"/>
      <c r="VT5" s="582"/>
      <c r="VU5" s="582"/>
      <c r="VV5" s="582"/>
      <c r="VW5" s="582"/>
      <c r="VX5" s="582"/>
      <c r="VY5" s="582"/>
      <c r="VZ5" s="582"/>
      <c r="WA5" s="582"/>
      <c r="WB5" s="582"/>
      <c r="WC5" s="582"/>
      <c r="WD5" s="582"/>
      <c r="WE5" s="582"/>
      <c r="WF5" s="582"/>
      <c r="WG5" s="582"/>
      <c r="WH5" s="582"/>
      <c r="WI5" s="582"/>
      <c r="WJ5" s="582"/>
      <c r="WK5" s="582"/>
      <c r="WL5" s="582"/>
      <c r="WM5" s="582"/>
      <c r="WN5" s="582"/>
      <c r="WO5" s="582"/>
      <c r="WP5" s="582"/>
      <c r="WQ5" s="582"/>
      <c r="WR5" s="582"/>
      <c r="WS5" s="582"/>
      <c r="WT5" s="582"/>
      <c r="WU5" s="582"/>
      <c r="WV5" s="582"/>
      <c r="WW5" s="582"/>
      <c r="WX5" s="582"/>
      <c r="WY5" s="582"/>
      <c r="WZ5" s="582"/>
      <c r="XA5" s="582"/>
      <c r="XB5" s="582"/>
      <c r="XC5" s="582"/>
      <c r="XD5" s="582"/>
      <c r="XE5" s="582"/>
      <c r="XF5" s="582"/>
      <c r="XG5" s="582"/>
      <c r="XH5" s="582"/>
      <c r="XI5" s="582"/>
      <c r="XJ5" s="582"/>
      <c r="XK5" s="582"/>
      <c r="XL5" s="582"/>
      <c r="XM5" s="582"/>
      <c r="XN5" s="582"/>
      <c r="XO5" s="582"/>
      <c r="XP5" s="582"/>
      <c r="XQ5" s="582"/>
      <c r="XR5" s="582"/>
      <c r="XS5" s="582"/>
      <c r="XT5" s="582"/>
      <c r="XU5" s="582"/>
      <c r="XV5" s="582"/>
      <c r="XW5" s="582"/>
      <c r="XX5" s="582"/>
      <c r="XY5" s="582"/>
      <c r="XZ5" s="582"/>
      <c r="YA5" s="582"/>
      <c r="YB5" s="582"/>
      <c r="YC5" s="582"/>
      <c r="YD5" s="582"/>
      <c r="YE5" s="582"/>
      <c r="YF5" s="582"/>
      <c r="YG5" s="582"/>
      <c r="YH5" s="582"/>
      <c r="YI5" s="582"/>
      <c r="YJ5" s="582"/>
      <c r="YK5" s="582"/>
      <c r="YL5" s="582"/>
      <c r="YM5" s="582"/>
      <c r="YN5" s="582"/>
      <c r="YO5" s="582"/>
      <c r="YP5" s="582"/>
      <c r="YQ5" s="582"/>
      <c r="YR5" s="582"/>
      <c r="YS5" s="582"/>
      <c r="YT5" s="582"/>
      <c r="YU5" s="582"/>
      <c r="YV5" s="582"/>
      <c r="YW5" s="582"/>
      <c r="YX5" s="582"/>
      <c r="YY5" s="582"/>
      <c r="YZ5" s="582"/>
      <c r="ZA5" s="582"/>
      <c r="ZB5" s="582"/>
      <c r="ZC5" s="582"/>
      <c r="ZD5" s="582"/>
      <c r="ZE5" s="582"/>
      <c r="ZF5" s="582"/>
      <c r="ZG5" s="582"/>
      <c r="ZH5" s="582"/>
      <c r="ZI5" s="582"/>
      <c r="ZJ5" s="582"/>
      <c r="ZK5" s="582"/>
      <c r="ZL5" s="582"/>
      <c r="ZM5" s="582"/>
      <c r="ZN5" s="582"/>
      <c r="ZO5" s="582"/>
      <c r="ZP5" s="582"/>
      <c r="ZQ5" s="582"/>
      <c r="ZR5" s="582"/>
      <c r="ZS5" s="582"/>
      <c r="ZT5" s="582"/>
      <c r="ZU5" s="582"/>
      <c r="ZV5" s="582"/>
      <c r="ZW5" s="582"/>
      <c r="ZX5" s="582"/>
      <c r="ZY5" s="582"/>
      <c r="ZZ5" s="582"/>
      <c r="AAA5" s="582"/>
      <c r="AAB5" s="582"/>
      <c r="AAC5" s="582"/>
      <c r="AAD5" s="582"/>
      <c r="AAE5" s="582"/>
      <c r="AAF5" s="582"/>
      <c r="AAG5" s="582"/>
      <c r="AAH5" s="582"/>
      <c r="AAI5" s="582"/>
      <c r="AAJ5" s="582"/>
      <c r="AAK5" s="582"/>
      <c r="AAL5" s="582"/>
      <c r="AAM5" s="582"/>
      <c r="AAN5" s="582"/>
      <c r="AAO5" s="582"/>
      <c r="AAP5" s="582"/>
      <c r="AAQ5" s="582"/>
      <c r="AAR5" s="582"/>
      <c r="AAS5" s="582"/>
      <c r="AAT5" s="582"/>
      <c r="AAU5" s="582"/>
      <c r="AAV5" s="582"/>
      <c r="AAW5" s="582"/>
      <c r="AAX5" s="582"/>
      <c r="AAY5" s="582"/>
      <c r="AAZ5" s="582"/>
      <c r="ABA5" s="582"/>
      <c r="ABB5" s="582"/>
      <c r="ABC5" s="582"/>
      <c r="ABD5" s="582"/>
      <c r="ABE5" s="582"/>
      <c r="ABF5" s="582"/>
      <c r="ABG5" s="582"/>
      <c r="ABH5" s="582"/>
      <c r="ABI5" s="582"/>
      <c r="ABJ5" s="582"/>
      <c r="ABK5" s="582"/>
      <c r="ABL5" s="582"/>
      <c r="ABM5" s="582"/>
      <c r="ABN5" s="582"/>
      <c r="ABO5" s="582"/>
      <c r="ABP5" s="582"/>
      <c r="ABQ5" s="582"/>
      <c r="ABR5" s="582"/>
      <c r="ABS5" s="582"/>
      <c r="ABT5" s="582"/>
      <c r="ABU5" s="582"/>
      <c r="ABV5" s="582"/>
      <c r="ABW5" s="582"/>
      <c r="ABX5" s="582"/>
      <c r="ABY5" s="582"/>
      <c r="ABZ5" s="582"/>
      <c r="ACA5" s="582"/>
      <c r="ACB5" s="582"/>
      <c r="ACC5" s="582"/>
      <c r="ACD5" s="582"/>
      <c r="ACE5" s="582"/>
      <c r="ACF5" s="582"/>
      <c r="ACG5" s="582"/>
      <c r="ACH5" s="582"/>
      <c r="ACI5" s="582"/>
      <c r="ACJ5" s="582"/>
      <c r="ACK5" s="582"/>
      <c r="ACL5" s="582"/>
      <c r="ACM5" s="582"/>
      <c r="ACN5" s="582"/>
      <c r="ACO5" s="582"/>
      <c r="ACP5" s="582"/>
      <c r="ACQ5" s="582"/>
      <c r="ACR5" s="582"/>
      <c r="ACS5" s="582"/>
      <c r="ACT5" s="582"/>
      <c r="ACU5" s="582"/>
      <c r="ACV5" s="582"/>
      <c r="ACW5" s="582"/>
      <c r="ACX5" s="582"/>
      <c r="ACY5" s="582"/>
      <c r="ACZ5" s="582"/>
      <c r="ADA5" s="582"/>
      <c r="ADB5" s="582"/>
      <c r="ADC5" s="582"/>
      <c r="ADD5" s="582"/>
      <c r="ADE5" s="582"/>
      <c r="ADF5" s="582"/>
      <c r="ADG5" s="582"/>
      <c r="ADH5" s="582"/>
      <c r="ADI5" s="582"/>
      <c r="ADJ5" s="582"/>
      <c r="ADK5" s="582"/>
      <c r="ADL5" s="582"/>
      <c r="ADM5" s="582"/>
      <c r="ADN5" s="582"/>
      <c r="ADO5" s="582"/>
      <c r="ADP5" s="582"/>
      <c r="ADQ5" s="582"/>
      <c r="ADR5" s="582"/>
      <c r="ADS5" s="582"/>
      <c r="ADT5" s="582"/>
      <c r="ADU5" s="582"/>
      <c r="ADV5" s="582"/>
      <c r="ADW5" s="582"/>
      <c r="ADX5" s="582"/>
      <c r="ADY5" s="582"/>
      <c r="ADZ5" s="582"/>
      <c r="AEA5" s="582"/>
      <c r="AEB5" s="582"/>
      <c r="AEC5" s="582"/>
      <c r="AED5" s="582"/>
      <c r="AEE5" s="582"/>
      <c r="AEF5" s="582"/>
      <c r="AEG5" s="582"/>
      <c r="AEH5" s="582"/>
      <c r="AEI5" s="582"/>
      <c r="AEJ5" s="582"/>
      <c r="AEK5" s="582"/>
      <c r="AEL5" s="582"/>
      <c r="AEM5" s="582"/>
      <c r="AEN5" s="582"/>
      <c r="AEO5" s="582"/>
      <c r="AEP5" s="582"/>
      <c r="AEQ5" s="582"/>
      <c r="AER5" s="582"/>
      <c r="AES5" s="582"/>
      <c r="AET5" s="582"/>
      <c r="AEU5" s="582"/>
      <c r="AEV5" s="582"/>
      <c r="AEW5" s="582"/>
      <c r="AEX5" s="582"/>
      <c r="AEY5" s="582"/>
      <c r="AEZ5" s="582"/>
      <c r="AFA5" s="582"/>
      <c r="AFB5" s="582"/>
      <c r="AFC5" s="582"/>
      <c r="AFD5" s="582"/>
      <c r="AFE5" s="582"/>
      <c r="AFF5" s="582"/>
      <c r="AFG5" s="582"/>
      <c r="AFH5" s="582"/>
      <c r="AFI5" s="582"/>
      <c r="AFJ5" s="582"/>
      <c r="AFK5" s="582"/>
      <c r="AFL5" s="582"/>
      <c r="AFM5" s="582"/>
      <c r="AFN5" s="582"/>
      <c r="AFO5" s="582"/>
      <c r="AFP5" s="582"/>
      <c r="AFQ5" s="582"/>
      <c r="AFR5" s="582"/>
      <c r="AFS5" s="582"/>
      <c r="AFT5" s="582"/>
      <c r="AFU5" s="582"/>
      <c r="AFV5" s="582"/>
      <c r="AFW5" s="582"/>
      <c r="AFX5" s="582"/>
      <c r="AFY5" s="582"/>
      <c r="AFZ5" s="582"/>
      <c r="AGA5" s="582"/>
      <c r="AGB5" s="582"/>
      <c r="AGC5" s="582"/>
      <c r="AGD5" s="582"/>
      <c r="AGE5" s="582"/>
      <c r="AGF5" s="582"/>
      <c r="AGG5" s="582"/>
      <c r="AGH5" s="582"/>
      <c r="AGI5" s="582"/>
      <c r="AGJ5" s="582"/>
      <c r="AGK5" s="582"/>
      <c r="AGL5" s="582"/>
      <c r="AGM5" s="582"/>
      <c r="AGN5" s="582"/>
      <c r="AGO5" s="582"/>
      <c r="AGP5" s="582"/>
      <c r="AGQ5" s="582"/>
      <c r="AGR5" s="582"/>
      <c r="AGS5" s="582"/>
      <c r="AGT5" s="582"/>
      <c r="AGU5" s="582"/>
      <c r="AGV5" s="582"/>
      <c r="AGW5" s="582"/>
      <c r="AGX5" s="582"/>
      <c r="AGY5" s="582"/>
      <c r="AGZ5" s="582"/>
      <c r="AHA5" s="582"/>
      <c r="AHB5" s="582"/>
      <c r="AHC5" s="582"/>
      <c r="AHD5" s="582"/>
      <c r="AHE5" s="582"/>
      <c r="AHF5" s="582"/>
      <c r="AHG5" s="582"/>
      <c r="AHH5" s="582"/>
      <c r="AHI5" s="582"/>
      <c r="AHJ5" s="582"/>
      <c r="AHK5" s="582"/>
      <c r="AHL5" s="582"/>
      <c r="AHM5" s="582"/>
      <c r="AHN5" s="582"/>
      <c r="AHO5" s="582"/>
      <c r="AHP5" s="582"/>
      <c r="AHQ5" s="582"/>
      <c r="AHR5" s="582"/>
      <c r="AHS5" s="582"/>
      <c r="AHT5" s="582"/>
      <c r="AHU5" s="582"/>
      <c r="AHV5" s="582"/>
      <c r="AHW5" s="582"/>
      <c r="AHX5" s="582"/>
      <c r="AHY5" s="582"/>
      <c r="AHZ5" s="582"/>
      <c r="AIA5" s="582"/>
      <c r="AIB5" s="582"/>
      <c r="AIC5" s="582"/>
      <c r="AID5" s="582"/>
      <c r="AIE5" s="582"/>
      <c r="AIF5" s="582"/>
      <c r="AIG5" s="582"/>
      <c r="AIH5" s="582"/>
      <c r="AII5" s="582"/>
      <c r="AIJ5" s="582"/>
      <c r="AIK5" s="582"/>
      <c r="AIL5" s="582"/>
      <c r="AIM5" s="582"/>
      <c r="AIN5" s="582"/>
      <c r="AIO5" s="582"/>
      <c r="AIP5" s="582"/>
      <c r="AIQ5" s="582"/>
      <c r="AIR5" s="582"/>
      <c r="AIS5" s="582"/>
      <c r="AIT5" s="582"/>
      <c r="AIU5" s="582"/>
      <c r="AIV5" s="582"/>
      <c r="AIW5" s="582"/>
      <c r="AIX5" s="582"/>
      <c r="AIY5" s="582"/>
      <c r="AIZ5" s="582"/>
      <c r="AJA5" s="582"/>
      <c r="AJB5" s="582"/>
      <c r="AJC5" s="582"/>
      <c r="AJD5" s="582"/>
      <c r="AJE5" s="582"/>
      <c r="AJF5" s="582"/>
      <c r="AJG5" s="582"/>
      <c r="AJH5" s="582"/>
      <c r="AJI5" s="582"/>
      <c r="AJJ5" s="582"/>
      <c r="AJK5" s="582"/>
      <c r="AJL5" s="582"/>
      <c r="AJM5" s="582"/>
      <c r="AJN5" s="582"/>
      <c r="AJO5" s="582"/>
      <c r="AJP5" s="582"/>
      <c r="AJQ5" s="582"/>
      <c r="AJR5" s="582"/>
      <c r="AJS5" s="582"/>
      <c r="AJT5" s="582"/>
      <c r="AJU5" s="582"/>
      <c r="AJV5" s="582"/>
      <c r="AJW5" s="582"/>
      <c r="AJX5" s="582"/>
      <c r="AJY5" s="582"/>
      <c r="AJZ5" s="582"/>
      <c r="AKA5" s="582"/>
      <c r="AKB5" s="582"/>
      <c r="AKC5" s="582"/>
      <c r="AKD5" s="582"/>
      <c r="AKE5" s="582"/>
      <c r="AKF5" s="582"/>
      <c r="AKG5" s="582"/>
      <c r="AKH5" s="582"/>
      <c r="AKI5" s="582"/>
      <c r="AKJ5" s="582"/>
      <c r="AKK5" s="582"/>
      <c r="AKL5" s="582"/>
      <c r="AKM5" s="582"/>
      <c r="AKN5" s="582"/>
      <c r="AKO5" s="582"/>
      <c r="AKP5" s="582"/>
      <c r="AKQ5" s="582"/>
      <c r="AKR5" s="582"/>
      <c r="AKS5" s="582"/>
      <c r="AKT5" s="582"/>
      <c r="AKU5" s="582"/>
      <c r="AKV5" s="582"/>
      <c r="AKW5" s="582"/>
      <c r="AKX5" s="582"/>
      <c r="AKY5" s="582"/>
      <c r="AKZ5" s="582"/>
      <c r="ALA5" s="582"/>
      <c r="ALB5" s="582"/>
      <c r="ALC5" s="582"/>
      <c r="ALD5" s="582"/>
      <c r="ALE5" s="582"/>
      <c r="ALF5" s="582"/>
      <c r="ALG5" s="582"/>
      <c r="ALH5" s="582"/>
      <c r="ALI5" s="582"/>
      <c r="ALJ5" s="582"/>
      <c r="ALK5" s="582"/>
      <c r="ALL5" s="582"/>
      <c r="ALM5" s="582"/>
      <c r="ALN5" s="582"/>
      <c r="ALO5" s="582"/>
      <c r="ALP5" s="582"/>
      <c r="ALQ5" s="582"/>
      <c r="ALR5" s="582"/>
      <c r="ALS5" s="582"/>
      <c r="ALT5" s="582"/>
      <c r="ALU5" s="582"/>
      <c r="ALV5" s="582"/>
      <c r="ALW5" s="582"/>
      <c r="ALX5" s="582"/>
      <c r="ALY5" s="582"/>
      <c r="ALZ5" s="582"/>
      <c r="AMA5" s="582"/>
      <c r="AMB5" s="582"/>
      <c r="AMC5" s="582"/>
      <c r="AMD5" s="582"/>
      <c r="AME5" s="582"/>
      <c r="AMF5" s="582"/>
      <c r="AMG5" s="582"/>
      <c r="AMH5" s="582"/>
      <c r="AMI5" s="582"/>
      <c r="AMJ5" s="582"/>
      <c r="AMK5" s="582"/>
      <c r="AML5" s="582"/>
      <c r="AMM5" s="582"/>
      <c r="AMN5" s="582"/>
      <c r="AMO5" s="582"/>
      <c r="AMP5" s="582"/>
      <c r="AMQ5" s="582"/>
      <c r="AMR5" s="582"/>
      <c r="AMS5" s="582"/>
      <c r="AMT5" s="582"/>
      <c r="AMU5" s="582"/>
      <c r="AMV5" s="582"/>
      <c r="AMW5" s="582"/>
      <c r="AMX5" s="582"/>
      <c r="AMY5" s="582"/>
      <c r="AMZ5" s="582"/>
      <c r="ANA5" s="582"/>
      <c r="ANB5" s="582"/>
      <c r="ANC5" s="582"/>
      <c r="AND5" s="582"/>
      <c r="ANE5" s="582"/>
      <c r="ANF5" s="582"/>
      <c r="ANG5" s="582"/>
      <c r="ANH5" s="582"/>
      <c r="ANI5" s="582"/>
      <c r="ANJ5" s="582"/>
      <c r="ANK5" s="582"/>
      <c r="ANL5" s="582"/>
      <c r="ANM5" s="582"/>
      <c r="ANN5" s="582"/>
      <c r="ANO5" s="582"/>
      <c r="ANP5" s="582"/>
      <c r="ANQ5" s="582"/>
      <c r="ANR5" s="582"/>
      <c r="ANS5" s="582"/>
      <c r="ANT5" s="582"/>
      <c r="ANU5" s="582"/>
      <c r="ANV5" s="582"/>
      <c r="ANW5" s="582"/>
      <c r="ANX5" s="582"/>
      <c r="ANY5" s="582"/>
      <c r="ANZ5" s="582"/>
      <c r="AOA5" s="582"/>
      <c r="AOB5" s="582"/>
      <c r="AOC5" s="582"/>
      <c r="AOD5" s="582"/>
      <c r="AOE5" s="582"/>
      <c r="AOF5" s="582"/>
      <c r="AOG5" s="582"/>
      <c r="AOH5" s="582"/>
      <c r="AOI5" s="582"/>
      <c r="AOJ5" s="582"/>
      <c r="AOK5" s="582"/>
      <c r="AOL5" s="582"/>
      <c r="AOM5" s="582"/>
      <c r="AON5" s="582"/>
      <c r="AOO5" s="582"/>
      <c r="AOP5" s="582"/>
      <c r="AOQ5" s="582"/>
      <c r="AOR5" s="582"/>
      <c r="AOS5" s="582"/>
      <c r="AOT5" s="582"/>
      <c r="AOU5" s="582"/>
      <c r="AOV5" s="582"/>
      <c r="AOW5" s="582"/>
      <c r="AOX5" s="582"/>
      <c r="AOY5" s="582"/>
      <c r="AOZ5" s="582"/>
      <c r="APA5" s="582"/>
      <c r="APB5" s="582"/>
      <c r="APC5" s="582"/>
      <c r="APD5" s="582"/>
      <c r="APE5" s="582"/>
      <c r="APF5" s="582"/>
      <c r="APG5" s="582"/>
      <c r="APH5" s="582"/>
      <c r="API5" s="582"/>
      <c r="APJ5" s="582"/>
      <c r="APK5" s="582"/>
      <c r="APL5" s="582"/>
      <c r="APM5" s="582"/>
      <c r="APN5" s="582"/>
      <c r="APO5" s="582"/>
      <c r="APP5" s="582"/>
      <c r="APQ5" s="582"/>
      <c r="APR5" s="582"/>
      <c r="APS5" s="582"/>
      <c r="APT5" s="582"/>
      <c r="APU5" s="582"/>
      <c r="APV5" s="582"/>
      <c r="APW5" s="582"/>
      <c r="APX5" s="582"/>
      <c r="APY5" s="582"/>
      <c r="APZ5" s="582"/>
      <c r="AQA5" s="582"/>
      <c r="AQB5" s="582"/>
      <c r="AQC5" s="582"/>
      <c r="AQD5" s="582"/>
      <c r="AQE5" s="582"/>
      <c r="AQF5" s="582"/>
      <c r="AQG5" s="582"/>
      <c r="AQH5" s="582"/>
      <c r="AQI5" s="582"/>
      <c r="AQJ5" s="582"/>
      <c r="AQK5" s="582"/>
      <c r="AQL5" s="582"/>
      <c r="AQM5" s="582"/>
      <c r="AQN5" s="582"/>
      <c r="AQO5" s="582"/>
      <c r="AQP5" s="582"/>
      <c r="AQQ5" s="582"/>
      <c r="AQR5" s="582"/>
      <c r="AQS5" s="582"/>
      <c r="AQT5" s="582"/>
      <c r="AQU5" s="582"/>
      <c r="AQV5" s="582"/>
      <c r="AQW5" s="582"/>
      <c r="AQX5" s="582"/>
      <c r="AQY5" s="582"/>
      <c r="AQZ5" s="582"/>
      <c r="ARA5" s="582"/>
      <c r="ARB5" s="582"/>
      <c r="ARC5" s="582"/>
      <c r="ARD5" s="582"/>
      <c r="ARE5" s="582"/>
      <c r="ARF5" s="582"/>
      <c r="ARG5" s="582"/>
      <c r="ARH5" s="582"/>
      <c r="ARI5" s="582"/>
      <c r="ARJ5" s="582"/>
      <c r="ARK5" s="582"/>
      <c r="ARL5" s="582"/>
      <c r="ARM5" s="582"/>
      <c r="ARN5" s="582"/>
      <c r="ARO5" s="582"/>
      <c r="ARP5" s="582"/>
      <c r="ARQ5" s="582"/>
      <c r="ARR5" s="582"/>
      <c r="ARS5" s="582"/>
      <c r="ART5" s="582"/>
      <c r="ARU5" s="582"/>
      <c r="ARV5" s="582"/>
      <c r="ARW5" s="582"/>
      <c r="ARX5" s="582"/>
      <c r="ARY5" s="582"/>
      <c r="ARZ5" s="582"/>
      <c r="ASA5" s="582"/>
      <c r="ASB5" s="582"/>
      <c r="ASC5" s="582"/>
      <c r="ASD5" s="582"/>
      <c r="ASE5" s="582"/>
      <c r="ASF5" s="582"/>
      <c r="ASG5" s="582"/>
      <c r="ASH5" s="582"/>
      <c r="ASI5" s="582"/>
      <c r="ASJ5" s="582"/>
      <c r="ASK5" s="582"/>
      <c r="ASL5" s="582"/>
      <c r="ASM5" s="582"/>
      <c r="ASN5" s="582"/>
      <c r="ASO5" s="582"/>
      <c r="ASP5" s="582"/>
      <c r="ASQ5" s="582"/>
      <c r="ASR5" s="582"/>
      <c r="ASS5" s="582"/>
      <c r="AST5" s="582"/>
      <c r="ASU5" s="582"/>
      <c r="ASV5" s="582"/>
      <c r="ASW5" s="582"/>
      <c r="ASX5" s="582"/>
      <c r="ASY5" s="582"/>
      <c r="ASZ5" s="582"/>
      <c r="ATA5" s="582"/>
      <c r="ATB5" s="582"/>
      <c r="ATC5" s="582"/>
      <c r="ATD5" s="582"/>
      <c r="ATE5" s="582"/>
      <c r="ATF5" s="582"/>
      <c r="ATG5" s="582"/>
      <c r="ATH5" s="582"/>
      <c r="ATI5" s="582"/>
      <c r="ATJ5" s="582"/>
      <c r="ATK5" s="582"/>
      <c r="ATL5" s="582"/>
      <c r="ATM5" s="582"/>
      <c r="ATN5" s="582"/>
      <c r="ATO5" s="582"/>
      <c r="ATP5" s="582"/>
      <c r="ATQ5" s="582"/>
      <c r="ATR5" s="582"/>
      <c r="ATS5" s="582"/>
      <c r="ATT5" s="582"/>
      <c r="ATU5" s="582"/>
      <c r="ATV5" s="582"/>
      <c r="ATW5" s="582"/>
      <c r="ATX5" s="582"/>
      <c r="ATY5" s="582"/>
      <c r="ATZ5" s="582"/>
      <c r="AUA5" s="582"/>
      <c r="AUB5" s="582"/>
      <c r="AUC5" s="582"/>
      <c r="AUD5" s="582"/>
      <c r="AUE5" s="582"/>
      <c r="AUF5" s="582"/>
      <c r="AUG5" s="582"/>
      <c r="AUH5" s="582"/>
      <c r="AUI5" s="582"/>
      <c r="AUJ5" s="582"/>
      <c r="AUK5" s="582"/>
      <c r="AUL5" s="582"/>
      <c r="AUM5" s="582"/>
      <c r="AUN5" s="582"/>
      <c r="AUO5" s="582"/>
      <c r="AUP5" s="582"/>
      <c r="AUQ5" s="582"/>
      <c r="AUR5" s="582"/>
      <c r="AUS5" s="582"/>
      <c r="AUT5" s="582"/>
      <c r="AUU5" s="582"/>
      <c r="AUV5" s="582"/>
      <c r="AUW5" s="582"/>
      <c r="AUX5" s="582"/>
      <c r="AUY5" s="582"/>
      <c r="AUZ5" s="582"/>
      <c r="AVA5" s="582"/>
      <c r="AVB5" s="582"/>
      <c r="AVC5" s="582"/>
      <c r="AVD5" s="582"/>
      <c r="AVE5" s="582"/>
      <c r="AVF5" s="582"/>
      <c r="AVG5" s="582"/>
      <c r="AVH5" s="582"/>
      <c r="AVI5" s="582"/>
      <c r="AVJ5" s="582"/>
      <c r="AVK5" s="582"/>
      <c r="AVL5" s="582"/>
      <c r="AVM5" s="582"/>
      <c r="AVN5" s="582"/>
      <c r="AVO5" s="582"/>
      <c r="AVP5" s="582"/>
      <c r="AVQ5" s="582"/>
      <c r="AVR5" s="582"/>
      <c r="AVS5" s="582"/>
      <c r="AVT5" s="582"/>
      <c r="AVU5" s="582"/>
      <c r="AVV5" s="582"/>
      <c r="AVW5" s="582"/>
      <c r="AVX5" s="582"/>
      <c r="AVY5" s="582"/>
      <c r="AVZ5" s="582"/>
      <c r="AWA5" s="582"/>
      <c r="AWB5" s="582"/>
      <c r="AWC5" s="582"/>
      <c r="AWD5" s="582"/>
      <c r="AWE5" s="582"/>
      <c r="AWF5" s="582"/>
      <c r="AWG5" s="582"/>
      <c r="AWH5" s="582"/>
      <c r="AWI5" s="582"/>
      <c r="AWJ5" s="582"/>
      <c r="AWK5" s="582"/>
      <c r="AWL5" s="582"/>
      <c r="AWM5" s="582"/>
      <c r="AWN5" s="582"/>
      <c r="AWO5" s="582"/>
      <c r="AWP5" s="582"/>
      <c r="AWQ5" s="582"/>
      <c r="AWR5" s="582"/>
      <c r="AWS5" s="582"/>
      <c r="AWT5" s="582"/>
      <c r="AWU5" s="582"/>
      <c r="AWV5" s="582"/>
      <c r="AWW5" s="582"/>
      <c r="AWX5" s="582"/>
      <c r="AWY5" s="582"/>
      <c r="AWZ5" s="582"/>
      <c r="AXA5" s="582"/>
      <c r="AXB5" s="582"/>
      <c r="AXC5" s="582"/>
      <c r="AXD5" s="582"/>
      <c r="AXE5" s="582"/>
      <c r="AXF5" s="582"/>
      <c r="AXG5" s="582"/>
      <c r="AXH5" s="582"/>
      <c r="AXI5" s="582"/>
      <c r="AXJ5" s="582"/>
      <c r="AXK5" s="582"/>
      <c r="AXL5" s="582"/>
      <c r="AXM5" s="582"/>
      <c r="AXN5" s="582"/>
      <c r="AXO5" s="582"/>
      <c r="AXP5" s="582"/>
      <c r="AXQ5" s="582"/>
      <c r="AXR5" s="582"/>
      <c r="AXS5" s="582"/>
      <c r="AXT5" s="582"/>
      <c r="AXU5" s="582"/>
      <c r="AXV5" s="582"/>
      <c r="AXW5" s="582"/>
      <c r="AXX5" s="582"/>
      <c r="AXY5" s="582"/>
      <c r="AXZ5" s="582"/>
      <c r="AYA5" s="582"/>
      <c r="AYB5" s="582"/>
      <c r="AYC5" s="582"/>
      <c r="AYD5" s="582"/>
      <c r="AYE5" s="582"/>
      <c r="AYF5" s="582"/>
      <c r="AYG5" s="582"/>
      <c r="AYH5" s="582"/>
      <c r="AYI5" s="582"/>
      <c r="AYJ5" s="582"/>
      <c r="AYK5" s="582"/>
      <c r="AYL5" s="582"/>
      <c r="AYM5" s="582"/>
      <c r="AYN5" s="582"/>
      <c r="AYO5" s="582"/>
      <c r="AYP5" s="582"/>
      <c r="AYQ5" s="582"/>
      <c r="AYR5" s="582"/>
      <c r="AYS5" s="582"/>
      <c r="AYT5" s="582"/>
      <c r="AYU5" s="582"/>
      <c r="AYV5" s="582"/>
      <c r="AYW5" s="582"/>
      <c r="AYX5" s="582"/>
      <c r="AYY5" s="582"/>
      <c r="AYZ5" s="582"/>
      <c r="AZA5" s="582"/>
      <c r="AZB5" s="582"/>
      <c r="AZC5" s="582"/>
      <c r="AZD5" s="582"/>
      <c r="AZE5" s="582"/>
      <c r="AZF5" s="582"/>
      <c r="AZG5" s="582"/>
      <c r="AZH5" s="582"/>
      <c r="AZI5" s="582"/>
      <c r="AZJ5" s="582"/>
      <c r="AZK5" s="582"/>
      <c r="AZL5" s="582"/>
      <c r="AZM5" s="582"/>
      <c r="AZN5" s="582"/>
      <c r="AZO5" s="582"/>
      <c r="AZP5" s="582"/>
      <c r="AZQ5" s="582"/>
      <c r="AZR5" s="582"/>
      <c r="AZS5" s="582"/>
      <c r="AZT5" s="582"/>
      <c r="AZU5" s="582"/>
      <c r="AZV5" s="582"/>
      <c r="AZW5" s="582"/>
      <c r="AZX5" s="582"/>
      <c r="AZY5" s="582"/>
      <c r="AZZ5" s="582"/>
      <c r="BAA5" s="582"/>
      <c r="BAB5" s="582"/>
      <c r="BAC5" s="582"/>
      <c r="BAD5" s="582"/>
      <c r="BAE5" s="582"/>
      <c r="BAF5" s="582"/>
      <c r="BAG5" s="582"/>
      <c r="BAH5" s="582"/>
      <c r="BAI5" s="582"/>
      <c r="BAJ5" s="582"/>
      <c r="BAK5" s="582"/>
      <c r="BAL5" s="582"/>
      <c r="BAM5" s="582"/>
      <c r="BAN5" s="582"/>
      <c r="BAO5" s="582"/>
      <c r="BAP5" s="582"/>
      <c r="BAQ5" s="582"/>
      <c r="BAR5" s="582"/>
      <c r="BAS5" s="582"/>
      <c r="BAT5" s="582"/>
      <c r="BAU5" s="582"/>
      <c r="BAV5" s="582"/>
      <c r="BAW5" s="582"/>
      <c r="BAX5" s="582"/>
      <c r="BAY5" s="582"/>
      <c r="BAZ5" s="582"/>
      <c r="BBA5" s="582"/>
      <c r="BBB5" s="582"/>
      <c r="BBC5" s="582"/>
      <c r="BBD5" s="582"/>
      <c r="BBE5" s="582"/>
      <c r="BBF5" s="582"/>
      <c r="BBG5" s="582"/>
      <c r="BBH5" s="582"/>
      <c r="BBI5" s="582"/>
      <c r="BBJ5" s="582"/>
      <c r="BBK5" s="582"/>
      <c r="BBL5" s="582"/>
      <c r="BBM5" s="582"/>
      <c r="BBN5" s="582"/>
      <c r="BBO5" s="582"/>
      <c r="BBP5" s="582"/>
      <c r="BBQ5" s="582"/>
      <c r="BBR5" s="582"/>
      <c r="BBS5" s="582"/>
      <c r="BBT5" s="582"/>
      <c r="BBU5" s="582"/>
      <c r="BBV5" s="582"/>
      <c r="BBW5" s="582"/>
      <c r="BBX5" s="582"/>
      <c r="BBY5" s="582"/>
      <c r="BBZ5" s="582"/>
      <c r="BCA5" s="582"/>
      <c r="BCB5" s="582"/>
      <c r="BCC5" s="582"/>
      <c r="BCD5" s="582"/>
      <c r="BCE5" s="582"/>
      <c r="BCF5" s="582"/>
      <c r="BCG5" s="582"/>
      <c r="BCH5" s="582"/>
      <c r="BCI5" s="582"/>
      <c r="BCJ5" s="582"/>
      <c r="BCK5" s="582"/>
      <c r="BCL5" s="582"/>
      <c r="BCM5" s="582"/>
      <c r="BCN5" s="582"/>
      <c r="BCO5" s="582"/>
      <c r="BCP5" s="582"/>
      <c r="BCQ5" s="582"/>
      <c r="BCR5" s="582"/>
      <c r="BCS5" s="582"/>
      <c r="BCT5" s="582"/>
      <c r="BCU5" s="582"/>
      <c r="BCV5" s="582"/>
      <c r="BCW5" s="582"/>
      <c r="BCX5" s="582"/>
      <c r="BCY5" s="582"/>
      <c r="BCZ5" s="582"/>
      <c r="BDA5" s="582"/>
      <c r="BDB5" s="582"/>
      <c r="BDC5" s="582"/>
      <c r="BDD5" s="582"/>
      <c r="BDE5" s="582"/>
      <c r="BDF5" s="582"/>
      <c r="BDG5" s="582"/>
      <c r="BDH5" s="582"/>
      <c r="BDI5" s="582"/>
      <c r="BDJ5" s="582"/>
      <c r="BDK5" s="582"/>
      <c r="BDL5" s="582"/>
      <c r="BDM5" s="582"/>
      <c r="BDN5" s="582"/>
      <c r="BDO5" s="582"/>
      <c r="BDP5" s="582"/>
      <c r="BDQ5" s="582"/>
      <c r="BDR5" s="582"/>
      <c r="BDS5" s="582"/>
      <c r="BDT5" s="582"/>
      <c r="BDU5" s="582"/>
      <c r="BDV5" s="582"/>
      <c r="BDW5" s="582"/>
      <c r="BDX5" s="582"/>
      <c r="BDY5" s="582"/>
      <c r="BDZ5" s="582"/>
      <c r="BEA5" s="582"/>
      <c r="BEB5" s="582"/>
      <c r="BEC5" s="582"/>
      <c r="BED5" s="582"/>
      <c r="BEE5" s="582"/>
      <c r="BEF5" s="582"/>
      <c r="BEG5" s="582"/>
      <c r="BEH5" s="582"/>
      <c r="BEI5" s="582"/>
      <c r="BEJ5" s="582"/>
      <c r="BEK5" s="582"/>
      <c r="BEL5" s="582"/>
      <c r="BEM5" s="582"/>
      <c r="BEN5" s="582"/>
      <c r="BEO5" s="582"/>
      <c r="BEP5" s="582"/>
      <c r="BEQ5" s="582"/>
      <c r="BER5" s="582"/>
      <c r="BES5" s="582"/>
      <c r="BET5" s="582"/>
      <c r="BEU5" s="582"/>
      <c r="BEV5" s="582"/>
      <c r="BEW5" s="582"/>
      <c r="BEX5" s="582"/>
      <c r="BEY5" s="582"/>
      <c r="BEZ5" s="582"/>
      <c r="BFA5" s="582"/>
      <c r="BFB5" s="582"/>
      <c r="BFC5" s="582"/>
      <c r="BFD5" s="582"/>
      <c r="BFE5" s="582"/>
      <c r="BFF5" s="582"/>
      <c r="BFG5" s="582"/>
      <c r="BFH5" s="582"/>
      <c r="BFI5" s="582"/>
      <c r="BFJ5" s="582"/>
      <c r="BFK5" s="582"/>
      <c r="BFL5" s="582"/>
      <c r="BFM5" s="582"/>
      <c r="BFN5" s="582"/>
      <c r="BFO5" s="582"/>
      <c r="BFP5" s="582"/>
      <c r="BFQ5" s="582"/>
      <c r="BFR5" s="582"/>
      <c r="BFS5" s="582"/>
      <c r="BFT5" s="582"/>
      <c r="BFU5" s="582"/>
      <c r="BFV5" s="582"/>
      <c r="BFW5" s="582"/>
      <c r="BFX5" s="582"/>
      <c r="BFY5" s="582"/>
      <c r="BFZ5" s="582"/>
      <c r="BGA5" s="582"/>
      <c r="BGB5" s="582"/>
      <c r="BGC5" s="582"/>
      <c r="BGD5" s="582"/>
      <c r="BGE5" s="582"/>
      <c r="BGF5" s="582"/>
      <c r="BGG5" s="582"/>
      <c r="BGH5" s="582"/>
      <c r="BGI5" s="582"/>
      <c r="BGJ5" s="582"/>
      <c r="BGK5" s="582"/>
      <c r="BGL5" s="582"/>
      <c r="BGM5" s="582"/>
      <c r="BGN5" s="582"/>
      <c r="BGO5" s="582"/>
      <c r="BGP5" s="582"/>
      <c r="BGQ5" s="582"/>
      <c r="BGR5" s="582"/>
      <c r="BGS5" s="582"/>
      <c r="BGT5" s="582"/>
      <c r="BGU5" s="582"/>
      <c r="BGV5" s="582"/>
      <c r="BGW5" s="582"/>
      <c r="BGX5" s="582"/>
      <c r="BGY5" s="582"/>
      <c r="BGZ5" s="582"/>
      <c r="BHA5" s="582"/>
      <c r="BHB5" s="582"/>
      <c r="BHC5" s="582"/>
      <c r="BHD5" s="582"/>
      <c r="BHE5" s="582"/>
      <c r="BHF5" s="582"/>
      <c r="BHG5" s="582"/>
      <c r="BHH5" s="582"/>
      <c r="BHI5" s="582"/>
      <c r="BHJ5" s="582"/>
      <c r="BHK5" s="582"/>
      <c r="BHL5" s="582"/>
      <c r="BHM5" s="582"/>
      <c r="BHN5" s="582"/>
      <c r="BHO5" s="582"/>
      <c r="BHP5" s="582"/>
      <c r="BHQ5" s="582"/>
      <c r="BHR5" s="582"/>
      <c r="BHS5" s="582"/>
      <c r="BHT5" s="582"/>
      <c r="BHU5" s="582"/>
      <c r="BHV5" s="582"/>
      <c r="BHW5" s="582"/>
      <c r="BHX5" s="582"/>
      <c r="BHY5" s="582"/>
      <c r="BHZ5" s="582"/>
      <c r="BIA5" s="582"/>
      <c r="BIB5" s="582"/>
      <c r="BIC5" s="582"/>
      <c r="BID5" s="582"/>
      <c r="BIE5" s="582"/>
      <c r="BIF5" s="582"/>
      <c r="BIG5" s="582"/>
      <c r="BIH5" s="582"/>
      <c r="BII5" s="582"/>
      <c r="BIJ5" s="582"/>
      <c r="BIK5" s="582"/>
      <c r="BIL5" s="582"/>
      <c r="BIM5" s="582"/>
      <c r="BIN5" s="582"/>
      <c r="BIO5" s="582"/>
      <c r="BIP5" s="582"/>
      <c r="BIQ5" s="582"/>
      <c r="BIR5" s="582"/>
      <c r="BIS5" s="582"/>
      <c r="BIT5" s="582"/>
      <c r="BIU5" s="582"/>
      <c r="BIV5" s="582"/>
      <c r="BIW5" s="582"/>
      <c r="BIX5" s="582"/>
      <c r="BIY5" s="582"/>
      <c r="BIZ5" s="582"/>
      <c r="BJA5" s="582"/>
      <c r="BJB5" s="582"/>
      <c r="BJC5" s="582"/>
      <c r="BJD5" s="582"/>
      <c r="BJE5" s="582"/>
      <c r="BJF5" s="582"/>
      <c r="BJG5" s="582"/>
      <c r="BJH5" s="582"/>
      <c r="BJI5" s="582"/>
      <c r="BJJ5" s="582"/>
      <c r="BJK5" s="582"/>
      <c r="BJL5" s="582"/>
      <c r="BJM5" s="582"/>
      <c r="BJN5" s="582"/>
      <c r="BJO5" s="582"/>
      <c r="BJP5" s="582"/>
      <c r="BJQ5" s="582"/>
      <c r="BJR5" s="582"/>
      <c r="BJS5" s="582"/>
      <c r="BJT5" s="582"/>
      <c r="BJU5" s="582"/>
      <c r="BJV5" s="582"/>
      <c r="BJW5" s="582"/>
      <c r="BJX5" s="582"/>
      <c r="BJY5" s="582"/>
      <c r="BJZ5" s="582"/>
      <c r="BKA5" s="582"/>
      <c r="BKB5" s="582"/>
      <c r="BKC5" s="582"/>
      <c r="BKD5" s="582"/>
      <c r="BKE5" s="582"/>
      <c r="BKF5" s="582"/>
      <c r="BKG5" s="582"/>
      <c r="BKH5" s="582"/>
      <c r="BKI5" s="582"/>
      <c r="BKJ5" s="582"/>
      <c r="BKK5" s="582"/>
      <c r="BKL5" s="582"/>
      <c r="BKM5" s="582"/>
      <c r="BKN5" s="582"/>
      <c r="BKO5" s="582"/>
      <c r="BKP5" s="582"/>
      <c r="BKQ5" s="582"/>
      <c r="BKR5" s="582"/>
      <c r="BKS5" s="582"/>
      <c r="BKT5" s="582"/>
      <c r="BKU5" s="582"/>
      <c r="BKV5" s="582"/>
      <c r="BKW5" s="582"/>
      <c r="BKX5" s="582"/>
      <c r="BKY5" s="582"/>
      <c r="BKZ5" s="582"/>
      <c r="BLA5" s="582"/>
      <c r="BLB5" s="582"/>
      <c r="BLC5" s="582"/>
      <c r="BLD5" s="582"/>
      <c r="BLE5" s="582"/>
      <c r="BLF5" s="582"/>
      <c r="BLG5" s="582"/>
      <c r="BLH5" s="582"/>
      <c r="BLI5" s="582"/>
      <c r="BLJ5" s="582"/>
      <c r="BLK5" s="582"/>
      <c r="BLL5" s="582"/>
      <c r="BLM5" s="582"/>
      <c r="BLN5" s="582"/>
      <c r="BLO5" s="582"/>
      <c r="BLP5" s="582"/>
      <c r="BLQ5" s="582"/>
      <c r="BLR5" s="582"/>
      <c r="BLS5" s="582"/>
      <c r="BLT5" s="582"/>
      <c r="BLU5" s="582"/>
      <c r="BLV5" s="582"/>
      <c r="BLW5" s="582"/>
      <c r="BLX5" s="582"/>
      <c r="BLY5" s="582"/>
      <c r="BLZ5" s="582"/>
      <c r="BMA5" s="582"/>
      <c r="BMB5" s="582"/>
      <c r="BMC5" s="582"/>
      <c r="BMD5" s="582"/>
      <c r="BME5" s="582"/>
      <c r="BMF5" s="582"/>
      <c r="BMG5" s="582"/>
      <c r="BMH5" s="582"/>
      <c r="BMI5" s="582"/>
      <c r="BMJ5" s="582"/>
      <c r="BMK5" s="582"/>
      <c r="BML5" s="582"/>
      <c r="BMM5" s="582"/>
      <c r="BMN5" s="582"/>
      <c r="BMO5" s="582"/>
      <c r="BMP5" s="582"/>
      <c r="BMQ5" s="582"/>
      <c r="BMR5" s="582"/>
      <c r="BMS5" s="582"/>
      <c r="BMT5" s="582"/>
      <c r="BMU5" s="582"/>
      <c r="BMV5" s="582"/>
      <c r="BMW5" s="582"/>
      <c r="BMX5" s="582"/>
      <c r="BMY5" s="582"/>
      <c r="BMZ5" s="582"/>
      <c r="BNA5" s="582"/>
      <c r="BNB5" s="582"/>
      <c r="BNC5" s="582"/>
      <c r="BND5" s="582"/>
      <c r="BNE5" s="582"/>
      <c r="BNF5" s="582"/>
      <c r="BNG5" s="582"/>
      <c r="BNH5" s="582"/>
      <c r="BNI5" s="582"/>
      <c r="BNJ5" s="582"/>
      <c r="BNK5" s="582"/>
      <c r="BNL5" s="582"/>
      <c r="BNM5" s="582"/>
      <c r="BNN5" s="582"/>
      <c r="BNO5" s="582"/>
      <c r="BNP5" s="582"/>
      <c r="BNQ5" s="582"/>
      <c r="BNR5" s="582"/>
      <c r="BNS5" s="582"/>
      <c r="BNT5" s="582"/>
      <c r="BNU5" s="582"/>
      <c r="BNV5" s="582"/>
      <c r="BNW5" s="582"/>
      <c r="BNX5" s="582"/>
      <c r="BNY5" s="582"/>
      <c r="BNZ5" s="582"/>
      <c r="BOA5" s="582"/>
      <c r="BOB5" s="582"/>
      <c r="BOC5" s="582"/>
      <c r="BOD5" s="582"/>
      <c r="BOE5" s="582"/>
      <c r="BOF5" s="582"/>
      <c r="BOG5" s="582"/>
      <c r="BOH5" s="582"/>
      <c r="BOI5" s="582"/>
      <c r="BOJ5" s="582"/>
      <c r="BOK5" s="582"/>
      <c r="BOL5" s="582"/>
      <c r="BOM5" s="582"/>
      <c r="BON5" s="582"/>
      <c r="BOO5" s="582"/>
      <c r="BOP5" s="582"/>
      <c r="BOQ5" s="582"/>
      <c r="BOR5" s="582"/>
      <c r="BOS5" s="582"/>
      <c r="BOT5" s="582"/>
      <c r="BOU5" s="582"/>
      <c r="BOV5" s="582"/>
      <c r="BOW5" s="582"/>
      <c r="BOX5" s="582"/>
      <c r="BOY5" s="582"/>
      <c r="BOZ5" s="582"/>
      <c r="BPA5" s="582"/>
      <c r="BPB5" s="582"/>
      <c r="BPC5" s="582"/>
      <c r="BPD5" s="582"/>
      <c r="BPE5" s="582"/>
      <c r="BPF5" s="582"/>
      <c r="BPG5" s="582"/>
      <c r="BPH5" s="582"/>
      <c r="BPI5" s="582"/>
      <c r="BPJ5" s="582"/>
      <c r="BPK5" s="582"/>
      <c r="BPL5" s="582"/>
      <c r="BPM5" s="582"/>
      <c r="BPN5" s="582"/>
      <c r="BPO5" s="582"/>
      <c r="BPP5" s="582"/>
      <c r="BPQ5" s="582"/>
      <c r="BPR5" s="582"/>
      <c r="BPS5" s="582"/>
      <c r="BPT5" s="582"/>
      <c r="BPU5" s="582"/>
      <c r="BPV5" s="582"/>
      <c r="BPW5" s="582"/>
      <c r="BPX5" s="582"/>
      <c r="BPY5" s="582"/>
      <c r="BPZ5" s="582"/>
      <c r="BQA5" s="582"/>
      <c r="BQB5" s="582"/>
      <c r="BQC5" s="582"/>
      <c r="BQD5" s="582"/>
      <c r="BQE5" s="582"/>
      <c r="BQF5" s="582"/>
      <c r="BQG5" s="582"/>
      <c r="BQH5" s="582"/>
      <c r="BQI5" s="582"/>
      <c r="BQJ5" s="582"/>
      <c r="BQK5" s="582"/>
      <c r="BQL5" s="582"/>
      <c r="BQM5" s="582"/>
      <c r="BQN5" s="582"/>
      <c r="BQO5" s="582"/>
      <c r="BQP5" s="582"/>
      <c r="BQQ5" s="582"/>
      <c r="BQR5" s="582"/>
      <c r="BQS5" s="582"/>
      <c r="BQT5" s="582"/>
      <c r="BQU5" s="582"/>
      <c r="BQV5" s="582"/>
      <c r="BQW5" s="582"/>
      <c r="BQX5" s="582"/>
      <c r="BQY5" s="582"/>
      <c r="BQZ5" s="582"/>
      <c r="BRA5" s="582"/>
      <c r="BRB5" s="582"/>
      <c r="BRC5" s="582"/>
      <c r="BRD5" s="582"/>
      <c r="BRE5" s="582"/>
      <c r="BRF5" s="582"/>
      <c r="BRG5" s="582"/>
      <c r="BRH5" s="582"/>
      <c r="BRI5" s="582"/>
      <c r="BRJ5" s="582"/>
      <c r="BRK5" s="582"/>
      <c r="BRL5" s="582"/>
      <c r="BRM5" s="582"/>
      <c r="BRN5" s="582"/>
      <c r="BRO5" s="582"/>
      <c r="BRP5" s="582"/>
      <c r="BRQ5" s="582"/>
      <c r="BRR5" s="582"/>
      <c r="BRS5" s="582"/>
      <c r="BRT5" s="582"/>
      <c r="BRU5" s="582"/>
      <c r="BRV5" s="582"/>
      <c r="BRW5" s="582"/>
      <c r="BRX5" s="582"/>
      <c r="BRY5" s="582"/>
      <c r="BRZ5" s="582"/>
      <c r="BSA5" s="582"/>
      <c r="BSB5" s="582"/>
      <c r="BSC5" s="582"/>
      <c r="BSD5" s="582"/>
      <c r="BSE5" s="582"/>
      <c r="BSF5" s="582"/>
      <c r="BSG5" s="582"/>
      <c r="BSH5" s="582"/>
      <c r="BSI5" s="582"/>
      <c r="BSJ5" s="582"/>
      <c r="BSK5" s="582"/>
      <c r="BSL5" s="582"/>
      <c r="BSM5" s="582"/>
      <c r="BSN5" s="582"/>
      <c r="BSO5" s="582"/>
      <c r="BSP5" s="582"/>
      <c r="BSQ5" s="582"/>
      <c r="BSR5" s="582"/>
      <c r="BSS5" s="582"/>
      <c r="BST5" s="582"/>
      <c r="BSU5" s="582"/>
      <c r="BSV5" s="582"/>
      <c r="BSW5" s="582"/>
      <c r="BSX5" s="582"/>
      <c r="BSY5" s="582"/>
      <c r="BSZ5" s="582"/>
      <c r="BTA5" s="582"/>
      <c r="BTB5" s="582"/>
      <c r="BTC5" s="582"/>
      <c r="BTD5" s="582"/>
      <c r="BTE5" s="582"/>
      <c r="BTF5" s="582"/>
      <c r="BTG5" s="582"/>
      <c r="BTH5" s="582"/>
      <c r="BTI5" s="582"/>
      <c r="BTJ5" s="582"/>
      <c r="BTK5" s="582"/>
      <c r="BTL5" s="582"/>
      <c r="BTM5" s="582"/>
      <c r="BTN5" s="582"/>
      <c r="BTO5" s="582"/>
      <c r="BTP5" s="582"/>
      <c r="BTQ5" s="582"/>
      <c r="BTR5" s="582"/>
      <c r="BTS5" s="582"/>
      <c r="BTT5" s="582"/>
      <c r="BTU5" s="582"/>
      <c r="BTV5" s="582"/>
      <c r="BTW5" s="582"/>
      <c r="BTX5" s="582"/>
      <c r="BTY5" s="582"/>
      <c r="BTZ5" s="582"/>
      <c r="BUA5" s="582"/>
      <c r="BUB5" s="582"/>
      <c r="BUC5" s="582"/>
      <c r="BUD5" s="582"/>
      <c r="BUE5" s="582"/>
      <c r="BUF5" s="582"/>
      <c r="BUG5" s="582"/>
      <c r="BUH5" s="582"/>
      <c r="BUI5" s="582"/>
      <c r="BUJ5" s="582"/>
      <c r="BUK5" s="582"/>
      <c r="BUL5" s="582"/>
      <c r="BUM5" s="582"/>
      <c r="BUN5" s="582"/>
      <c r="BUO5" s="582"/>
      <c r="BUP5" s="582"/>
      <c r="BUQ5" s="582"/>
      <c r="BUR5" s="582"/>
      <c r="BUS5" s="582"/>
      <c r="BUT5" s="582"/>
      <c r="BUU5" s="582"/>
      <c r="BUV5" s="582"/>
      <c r="BUW5" s="582"/>
      <c r="BUX5" s="582"/>
      <c r="BUY5" s="582"/>
      <c r="BUZ5" s="582"/>
      <c r="BVA5" s="582"/>
      <c r="BVB5" s="582"/>
      <c r="BVC5" s="582"/>
      <c r="BVD5" s="582"/>
      <c r="BVE5" s="582"/>
      <c r="BVF5" s="582"/>
      <c r="BVG5" s="582"/>
      <c r="BVH5" s="582"/>
      <c r="BVI5" s="582"/>
      <c r="BVJ5" s="582"/>
      <c r="BVK5" s="582"/>
      <c r="BVL5" s="582"/>
      <c r="BVM5" s="582"/>
      <c r="BVN5" s="582"/>
      <c r="BVO5" s="582"/>
      <c r="BVP5" s="582"/>
      <c r="BVQ5" s="582"/>
      <c r="BVR5" s="582"/>
      <c r="BVS5" s="582"/>
      <c r="BVT5" s="582"/>
      <c r="BVU5" s="582"/>
      <c r="BVV5" s="582"/>
      <c r="BVW5" s="582"/>
      <c r="BVX5" s="582"/>
      <c r="BVY5" s="582"/>
      <c r="BVZ5" s="582"/>
      <c r="BWA5" s="582"/>
      <c r="BWB5" s="582"/>
      <c r="BWC5" s="582"/>
      <c r="BWD5" s="582"/>
      <c r="BWE5" s="582"/>
      <c r="BWF5" s="582"/>
      <c r="BWG5" s="582"/>
      <c r="BWH5" s="582"/>
      <c r="BWI5" s="582"/>
      <c r="BWJ5" s="582"/>
      <c r="BWK5" s="582"/>
      <c r="BWL5" s="582"/>
      <c r="BWM5" s="582"/>
      <c r="BWN5" s="582"/>
      <c r="BWO5" s="582"/>
      <c r="BWP5" s="582"/>
      <c r="BWQ5" s="582"/>
      <c r="BWR5" s="582"/>
      <c r="BWS5" s="582"/>
      <c r="BWT5" s="582"/>
      <c r="BWU5" s="582"/>
      <c r="BWV5" s="582"/>
      <c r="BWW5" s="582"/>
      <c r="BWX5" s="582"/>
      <c r="BWY5" s="582"/>
      <c r="BWZ5" s="582"/>
      <c r="BXA5" s="582"/>
      <c r="BXB5" s="582"/>
      <c r="BXC5" s="582"/>
      <c r="BXD5" s="582"/>
      <c r="BXE5" s="582"/>
      <c r="BXF5" s="582"/>
      <c r="BXG5" s="582"/>
      <c r="BXH5" s="582"/>
      <c r="BXI5" s="582"/>
      <c r="BXJ5" s="582"/>
      <c r="BXK5" s="582"/>
      <c r="BXL5" s="582"/>
      <c r="BXM5" s="582"/>
      <c r="BXN5" s="582"/>
      <c r="BXO5" s="582"/>
      <c r="BXP5" s="582"/>
      <c r="BXQ5" s="582"/>
      <c r="BXR5" s="582"/>
      <c r="BXS5" s="582"/>
      <c r="BXT5" s="582"/>
      <c r="BXU5" s="582"/>
      <c r="BXV5" s="582"/>
      <c r="BXW5" s="582"/>
      <c r="BXX5" s="582"/>
      <c r="BXY5" s="582"/>
      <c r="BXZ5" s="582"/>
      <c r="BYA5" s="582"/>
      <c r="BYB5" s="582"/>
      <c r="BYC5" s="582"/>
      <c r="BYD5" s="582"/>
      <c r="BYE5" s="582"/>
      <c r="BYF5" s="582"/>
      <c r="BYG5" s="582"/>
      <c r="BYH5" s="582"/>
      <c r="BYI5" s="582"/>
      <c r="BYJ5" s="582"/>
      <c r="BYK5" s="582"/>
      <c r="BYL5" s="582"/>
      <c r="BYM5" s="582"/>
      <c r="BYN5" s="582"/>
      <c r="BYO5" s="582"/>
      <c r="BYP5" s="582"/>
      <c r="BYQ5" s="582"/>
      <c r="BYR5" s="582"/>
      <c r="BYS5" s="582"/>
      <c r="BYT5" s="582"/>
      <c r="BYU5" s="582"/>
      <c r="BYV5" s="582"/>
      <c r="BYW5" s="582"/>
      <c r="BYX5" s="582"/>
      <c r="BYY5" s="582"/>
      <c r="BYZ5" s="582"/>
      <c r="BZA5" s="582"/>
      <c r="BZB5" s="582"/>
      <c r="BZC5" s="582"/>
      <c r="BZD5" s="582"/>
      <c r="BZE5" s="582"/>
      <c r="BZF5" s="582"/>
      <c r="BZG5" s="582"/>
      <c r="BZH5" s="582"/>
      <c r="BZI5" s="582"/>
      <c r="BZJ5" s="582"/>
      <c r="BZK5" s="582"/>
      <c r="BZL5" s="582"/>
      <c r="BZM5" s="582"/>
      <c r="BZN5" s="582"/>
      <c r="BZO5" s="582"/>
      <c r="BZP5" s="582"/>
      <c r="BZQ5" s="582"/>
      <c r="BZR5" s="582"/>
      <c r="BZS5" s="582"/>
      <c r="BZT5" s="582"/>
      <c r="BZU5" s="582"/>
      <c r="BZV5" s="582"/>
      <c r="BZW5" s="582"/>
      <c r="BZX5" s="582"/>
      <c r="BZY5" s="582"/>
      <c r="BZZ5" s="582"/>
      <c r="CAA5" s="582"/>
      <c r="CAB5" s="582"/>
      <c r="CAC5" s="582"/>
      <c r="CAD5" s="582"/>
      <c r="CAE5" s="582"/>
      <c r="CAF5" s="582"/>
      <c r="CAG5" s="582"/>
      <c r="CAH5" s="582"/>
      <c r="CAI5" s="582"/>
      <c r="CAJ5" s="582"/>
      <c r="CAK5" s="582"/>
      <c r="CAL5" s="582"/>
      <c r="CAM5" s="582"/>
      <c r="CAN5" s="582"/>
      <c r="CAO5" s="582"/>
      <c r="CAP5" s="582"/>
      <c r="CAQ5" s="582"/>
      <c r="CAR5" s="582"/>
      <c r="CAS5" s="582"/>
      <c r="CAT5" s="582"/>
      <c r="CAU5" s="582"/>
      <c r="CAV5" s="582"/>
      <c r="CAW5" s="582"/>
      <c r="CAX5" s="582"/>
      <c r="CAY5" s="582"/>
      <c r="CAZ5" s="582"/>
      <c r="CBA5" s="582"/>
      <c r="CBB5" s="582"/>
      <c r="CBC5" s="582"/>
      <c r="CBD5" s="582"/>
      <c r="CBE5" s="582"/>
      <c r="CBF5" s="582"/>
      <c r="CBG5" s="582"/>
      <c r="CBH5" s="582"/>
      <c r="CBI5" s="582"/>
      <c r="CBJ5" s="582"/>
      <c r="CBK5" s="582"/>
      <c r="CBL5" s="582"/>
      <c r="CBM5" s="582"/>
      <c r="CBN5" s="582"/>
      <c r="CBO5" s="582"/>
      <c r="CBP5" s="582"/>
      <c r="CBQ5" s="582"/>
      <c r="CBR5" s="582"/>
      <c r="CBS5" s="582"/>
      <c r="CBT5" s="582"/>
      <c r="CBU5" s="582"/>
      <c r="CBV5" s="582"/>
      <c r="CBW5" s="582"/>
      <c r="CBX5" s="582"/>
      <c r="CBY5" s="582"/>
      <c r="CBZ5" s="582"/>
      <c r="CCA5" s="582"/>
      <c r="CCB5" s="582"/>
      <c r="CCC5" s="582"/>
      <c r="CCD5" s="582"/>
      <c r="CCE5" s="582"/>
      <c r="CCF5" s="582"/>
      <c r="CCG5" s="582"/>
      <c r="CCH5" s="582"/>
      <c r="CCI5" s="582"/>
      <c r="CCJ5" s="582"/>
      <c r="CCK5" s="582"/>
      <c r="CCL5" s="582"/>
      <c r="CCM5" s="582"/>
      <c r="CCN5" s="582"/>
      <c r="CCO5" s="582"/>
      <c r="CCP5" s="582"/>
      <c r="CCQ5" s="582"/>
      <c r="CCR5" s="582"/>
      <c r="CCS5" s="582"/>
      <c r="CCT5" s="582"/>
      <c r="CCU5" s="582"/>
      <c r="CCV5" s="582"/>
      <c r="CCW5" s="582"/>
      <c r="CCX5" s="582"/>
      <c r="CCY5" s="582"/>
      <c r="CCZ5" s="582"/>
      <c r="CDA5" s="582"/>
      <c r="CDB5" s="582"/>
      <c r="CDC5" s="582"/>
      <c r="CDD5" s="582"/>
      <c r="CDE5" s="582"/>
      <c r="CDF5" s="582"/>
      <c r="CDG5" s="582"/>
      <c r="CDH5" s="582"/>
      <c r="CDI5" s="582"/>
      <c r="CDJ5" s="582"/>
      <c r="CDK5" s="582"/>
      <c r="CDL5" s="582"/>
      <c r="CDM5" s="582"/>
      <c r="CDN5" s="582"/>
      <c r="CDO5" s="582"/>
      <c r="CDP5" s="582"/>
      <c r="CDQ5" s="582"/>
      <c r="CDR5" s="582"/>
      <c r="CDS5" s="582"/>
      <c r="CDT5" s="582"/>
      <c r="CDU5" s="582"/>
      <c r="CDV5" s="582"/>
      <c r="CDW5" s="582"/>
      <c r="CDX5" s="582"/>
      <c r="CDY5" s="582"/>
      <c r="CDZ5" s="582"/>
      <c r="CEA5" s="582"/>
      <c r="CEB5" s="582"/>
      <c r="CEC5" s="582"/>
      <c r="CED5" s="582"/>
      <c r="CEE5" s="582"/>
      <c r="CEF5" s="582"/>
      <c r="CEG5" s="582"/>
      <c r="CEH5" s="582"/>
      <c r="CEI5" s="582"/>
      <c r="CEJ5" s="582"/>
      <c r="CEK5" s="582"/>
      <c r="CEL5" s="582"/>
      <c r="CEM5" s="582"/>
      <c r="CEN5" s="582"/>
      <c r="CEO5" s="582"/>
      <c r="CEP5" s="582"/>
      <c r="CEQ5" s="582"/>
      <c r="CER5" s="582"/>
      <c r="CES5" s="582"/>
      <c r="CET5" s="582"/>
      <c r="CEU5" s="582"/>
      <c r="CEV5" s="582"/>
      <c r="CEW5" s="582"/>
      <c r="CEX5" s="582"/>
      <c r="CEY5" s="582"/>
      <c r="CEZ5" s="582"/>
      <c r="CFA5" s="582"/>
      <c r="CFB5" s="582"/>
      <c r="CFC5" s="582"/>
      <c r="CFD5" s="582"/>
      <c r="CFE5" s="582"/>
      <c r="CFF5" s="582"/>
      <c r="CFG5" s="582"/>
      <c r="CFH5" s="582"/>
      <c r="CFI5" s="582"/>
      <c r="CFJ5" s="582"/>
      <c r="CFK5" s="582"/>
      <c r="CFL5" s="582"/>
      <c r="CFM5" s="582"/>
      <c r="CFN5" s="582"/>
      <c r="CFO5" s="582"/>
      <c r="CFP5" s="582"/>
      <c r="CFQ5" s="582"/>
      <c r="CFR5" s="582"/>
      <c r="CFS5" s="582"/>
      <c r="CFT5" s="582"/>
      <c r="CFU5" s="582"/>
      <c r="CFV5" s="582"/>
      <c r="CFW5" s="582"/>
      <c r="CFX5" s="582"/>
      <c r="CFY5" s="582"/>
      <c r="CFZ5" s="582"/>
      <c r="CGA5" s="582"/>
      <c r="CGB5" s="582"/>
      <c r="CGC5" s="582"/>
      <c r="CGD5" s="582"/>
      <c r="CGE5" s="582"/>
      <c r="CGF5" s="582"/>
      <c r="CGG5" s="582"/>
      <c r="CGH5" s="582"/>
      <c r="CGI5" s="582"/>
      <c r="CGJ5" s="582"/>
      <c r="CGK5" s="582"/>
      <c r="CGL5" s="582"/>
      <c r="CGM5" s="582"/>
      <c r="CGN5" s="582"/>
      <c r="CGO5" s="582"/>
      <c r="CGP5" s="582"/>
      <c r="CGQ5" s="582"/>
      <c r="CGR5" s="582"/>
      <c r="CGS5" s="582"/>
      <c r="CGT5" s="582"/>
      <c r="CGU5" s="582"/>
      <c r="CGV5" s="582"/>
      <c r="CGW5" s="582"/>
      <c r="CGX5" s="582"/>
      <c r="CGY5" s="582"/>
      <c r="CGZ5" s="582"/>
      <c r="CHA5" s="582"/>
      <c r="CHB5" s="582"/>
      <c r="CHC5" s="582"/>
      <c r="CHD5" s="582"/>
      <c r="CHE5" s="582"/>
      <c r="CHF5" s="582"/>
      <c r="CHG5" s="582"/>
      <c r="CHH5" s="582"/>
      <c r="CHI5" s="582"/>
      <c r="CHJ5" s="582"/>
      <c r="CHK5" s="582"/>
      <c r="CHL5" s="582"/>
      <c r="CHM5" s="582"/>
      <c r="CHN5" s="582"/>
      <c r="CHO5" s="582"/>
      <c r="CHP5" s="582"/>
      <c r="CHQ5" s="582"/>
      <c r="CHR5" s="582"/>
      <c r="CHS5" s="582"/>
      <c r="CHT5" s="582"/>
      <c r="CHU5" s="582"/>
      <c r="CHV5" s="582"/>
      <c r="CHW5" s="582"/>
      <c r="CHX5" s="582"/>
      <c r="CHY5" s="582"/>
      <c r="CHZ5" s="582"/>
      <c r="CIA5" s="582"/>
      <c r="CIB5" s="582"/>
      <c r="CIC5" s="582"/>
      <c r="CID5" s="582"/>
      <c r="CIE5" s="582"/>
      <c r="CIF5" s="582"/>
      <c r="CIG5" s="582"/>
      <c r="CIH5" s="582"/>
      <c r="CII5" s="582"/>
      <c r="CIJ5" s="582"/>
      <c r="CIK5" s="582"/>
      <c r="CIL5" s="582"/>
      <c r="CIM5" s="582"/>
      <c r="CIN5" s="582"/>
      <c r="CIO5" s="582"/>
      <c r="CIP5" s="582"/>
      <c r="CIQ5" s="582"/>
      <c r="CIR5" s="582"/>
      <c r="CIS5" s="582"/>
      <c r="CIT5" s="582"/>
      <c r="CIU5" s="582"/>
      <c r="CIV5" s="582"/>
      <c r="CIW5" s="582"/>
      <c r="CIX5" s="582"/>
      <c r="CIY5" s="582"/>
      <c r="CIZ5" s="582"/>
      <c r="CJA5" s="582"/>
      <c r="CJB5" s="582"/>
      <c r="CJC5" s="582"/>
      <c r="CJD5" s="582"/>
      <c r="CJE5" s="582"/>
      <c r="CJF5" s="582"/>
      <c r="CJG5" s="582"/>
      <c r="CJH5" s="582"/>
      <c r="CJI5" s="582"/>
      <c r="CJJ5" s="582"/>
      <c r="CJK5" s="582"/>
      <c r="CJL5" s="582"/>
      <c r="CJM5" s="582"/>
      <c r="CJN5" s="582"/>
      <c r="CJO5" s="582"/>
      <c r="CJP5" s="582"/>
      <c r="CJQ5" s="582"/>
      <c r="CJR5" s="582"/>
      <c r="CJS5" s="582"/>
      <c r="CJT5" s="582"/>
      <c r="CJU5" s="582"/>
      <c r="CJV5" s="582"/>
      <c r="CJW5" s="582"/>
      <c r="CJX5" s="582"/>
      <c r="CJY5" s="582"/>
      <c r="CJZ5" s="582"/>
      <c r="CKA5" s="582"/>
      <c r="CKB5" s="582"/>
      <c r="CKC5" s="582"/>
      <c r="CKD5" s="582"/>
      <c r="CKE5" s="582"/>
      <c r="CKF5" s="582"/>
      <c r="CKG5" s="582"/>
      <c r="CKH5" s="582"/>
      <c r="CKI5" s="582"/>
      <c r="CKJ5" s="582"/>
      <c r="CKK5" s="582"/>
      <c r="CKL5" s="582"/>
      <c r="CKM5" s="582"/>
      <c r="CKN5" s="582"/>
      <c r="CKO5" s="582"/>
      <c r="CKP5" s="582"/>
      <c r="CKQ5" s="582"/>
      <c r="CKR5" s="582"/>
      <c r="CKS5" s="582"/>
      <c r="CKT5" s="582"/>
      <c r="CKU5" s="582"/>
      <c r="CKV5" s="582"/>
      <c r="CKW5" s="582"/>
      <c r="CKX5" s="582"/>
      <c r="CKY5" s="582"/>
      <c r="CKZ5" s="582"/>
      <c r="CLA5" s="582"/>
      <c r="CLB5" s="582"/>
      <c r="CLC5" s="582"/>
      <c r="CLD5" s="582"/>
      <c r="CLE5" s="582"/>
      <c r="CLF5" s="582"/>
      <c r="CLG5" s="582"/>
      <c r="CLH5" s="582"/>
      <c r="CLI5" s="582"/>
      <c r="CLJ5" s="582"/>
      <c r="CLK5" s="582"/>
      <c r="CLL5" s="582"/>
      <c r="CLM5" s="582"/>
      <c r="CLN5" s="582"/>
      <c r="CLO5" s="582"/>
      <c r="CLP5" s="582"/>
      <c r="CLQ5" s="582"/>
      <c r="CLR5" s="582"/>
      <c r="CLS5" s="582"/>
      <c r="CLT5" s="582"/>
      <c r="CLU5" s="582"/>
      <c r="CLV5" s="582"/>
      <c r="CLW5" s="582"/>
      <c r="CLX5" s="582"/>
      <c r="CLY5" s="582"/>
      <c r="CLZ5" s="582"/>
      <c r="CMA5" s="582"/>
      <c r="CMB5" s="582"/>
      <c r="CMC5" s="582"/>
      <c r="CMD5" s="582"/>
      <c r="CME5" s="582"/>
      <c r="CMF5" s="582"/>
      <c r="CMG5" s="582"/>
      <c r="CMH5" s="582"/>
      <c r="CMI5" s="582"/>
      <c r="CMJ5" s="582"/>
      <c r="CMK5" s="582"/>
      <c r="CML5" s="582"/>
      <c r="CMM5" s="582"/>
      <c r="CMN5" s="582"/>
      <c r="CMO5" s="582"/>
      <c r="CMP5" s="582"/>
      <c r="CMQ5" s="582"/>
      <c r="CMR5" s="582"/>
      <c r="CMS5" s="582"/>
      <c r="CMT5" s="582"/>
      <c r="CMU5" s="582"/>
      <c r="CMV5" s="582"/>
      <c r="CMW5" s="582"/>
      <c r="CMX5" s="582"/>
      <c r="CMY5" s="582"/>
      <c r="CMZ5" s="582"/>
      <c r="CNA5" s="582"/>
      <c r="CNB5" s="582"/>
      <c r="CNC5" s="582"/>
      <c r="CND5" s="582"/>
      <c r="CNE5" s="582"/>
      <c r="CNF5" s="582"/>
      <c r="CNG5" s="582"/>
      <c r="CNH5" s="582"/>
      <c r="CNI5" s="582"/>
      <c r="CNJ5" s="582"/>
      <c r="CNK5" s="582"/>
      <c r="CNL5" s="582"/>
      <c r="CNM5" s="582"/>
      <c r="CNN5" s="582"/>
      <c r="CNO5" s="582"/>
      <c r="CNP5" s="582"/>
      <c r="CNQ5" s="582"/>
      <c r="CNR5" s="582"/>
      <c r="CNS5" s="582"/>
      <c r="CNT5" s="582"/>
      <c r="CNU5" s="582"/>
      <c r="CNV5" s="582"/>
      <c r="CNW5" s="582"/>
      <c r="CNX5" s="582"/>
      <c r="CNY5" s="582"/>
      <c r="CNZ5" s="582"/>
      <c r="COA5" s="582"/>
      <c r="COB5" s="582"/>
      <c r="COC5" s="582"/>
      <c r="COD5" s="582"/>
      <c r="COE5" s="582"/>
      <c r="COF5" s="582"/>
      <c r="COG5" s="582"/>
      <c r="COH5" s="582"/>
      <c r="COI5" s="582"/>
      <c r="COJ5" s="582"/>
      <c r="COK5" s="582"/>
      <c r="COL5" s="582"/>
      <c r="COM5" s="582"/>
      <c r="CON5" s="582"/>
      <c r="COO5" s="582"/>
      <c r="COP5" s="582"/>
      <c r="COQ5" s="582"/>
      <c r="COR5" s="582"/>
      <c r="COS5" s="582"/>
      <c r="COT5" s="582"/>
      <c r="COU5" s="582"/>
      <c r="COV5" s="582"/>
      <c r="COW5" s="582"/>
      <c r="COX5" s="582"/>
      <c r="COY5" s="582"/>
      <c r="COZ5" s="582"/>
      <c r="CPA5" s="582"/>
      <c r="CPB5" s="582"/>
      <c r="CPC5" s="582"/>
      <c r="CPD5" s="582"/>
      <c r="CPE5" s="582"/>
      <c r="CPF5" s="582"/>
      <c r="CPG5" s="582"/>
      <c r="CPH5" s="582"/>
      <c r="CPI5" s="582"/>
      <c r="CPJ5" s="582"/>
      <c r="CPK5" s="582"/>
      <c r="CPL5" s="582"/>
      <c r="CPM5" s="582"/>
      <c r="CPN5" s="582"/>
      <c r="CPO5" s="582"/>
      <c r="CPP5" s="582"/>
      <c r="CPQ5" s="582"/>
      <c r="CPR5" s="582"/>
      <c r="CPS5" s="582"/>
      <c r="CPT5" s="582"/>
      <c r="CPU5" s="582"/>
      <c r="CPV5" s="582"/>
      <c r="CPW5" s="582"/>
      <c r="CPX5" s="582"/>
      <c r="CPY5" s="582"/>
      <c r="CPZ5" s="582"/>
      <c r="CQA5" s="582"/>
      <c r="CQB5" s="582"/>
      <c r="CQC5" s="582"/>
      <c r="CQD5" s="582"/>
      <c r="CQE5" s="582"/>
      <c r="CQF5" s="582"/>
      <c r="CQG5" s="582"/>
      <c r="CQH5" s="582"/>
      <c r="CQI5" s="582"/>
      <c r="CQJ5" s="582"/>
      <c r="CQK5" s="582"/>
      <c r="CQL5" s="582"/>
      <c r="CQM5" s="582"/>
      <c r="CQN5" s="582"/>
      <c r="CQO5" s="582"/>
      <c r="CQP5" s="582"/>
      <c r="CQQ5" s="582"/>
      <c r="CQR5" s="582"/>
      <c r="CQS5" s="582"/>
      <c r="CQT5" s="582"/>
      <c r="CQU5" s="582"/>
      <c r="CQV5" s="582"/>
      <c r="CQW5" s="582"/>
      <c r="CQX5" s="582"/>
      <c r="CQY5" s="582"/>
      <c r="CQZ5" s="582"/>
      <c r="CRA5" s="582"/>
      <c r="CRB5" s="582"/>
      <c r="CRC5" s="582"/>
      <c r="CRD5" s="582"/>
      <c r="CRE5" s="582"/>
      <c r="CRF5" s="582"/>
      <c r="CRG5" s="582"/>
      <c r="CRH5" s="582"/>
      <c r="CRI5" s="582"/>
      <c r="CRJ5" s="582"/>
      <c r="CRK5" s="582"/>
      <c r="CRL5" s="582"/>
      <c r="CRM5" s="582"/>
      <c r="CRN5" s="582"/>
      <c r="CRO5" s="582"/>
      <c r="CRP5" s="582"/>
      <c r="CRQ5" s="582"/>
      <c r="CRR5" s="582"/>
      <c r="CRS5" s="582"/>
      <c r="CRT5" s="582"/>
      <c r="CRU5" s="582"/>
      <c r="CRV5" s="582"/>
      <c r="CRW5" s="582"/>
      <c r="CRX5" s="582"/>
      <c r="CRY5" s="582"/>
      <c r="CRZ5" s="582"/>
      <c r="CSA5" s="582"/>
      <c r="CSB5" s="582"/>
      <c r="CSC5" s="582"/>
      <c r="CSD5" s="582"/>
      <c r="CSE5" s="582"/>
      <c r="CSF5" s="582"/>
      <c r="CSG5" s="582"/>
      <c r="CSH5" s="582"/>
      <c r="CSI5" s="582"/>
      <c r="CSJ5" s="582"/>
      <c r="CSK5" s="582"/>
      <c r="CSL5" s="582"/>
      <c r="CSM5" s="582"/>
      <c r="CSN5" s="582"/>
      <c r="CSO5" s="582"/>
      <c r="CSP5" s="582"/>
      <c r="CSQ5" s="582"/>
      <c r="CSR5" s="582"/>
      <c r="CSS5" s="582"/>
      <c r="CST5" s="582"/>
      <c r="CSU5" s="582"/>
      <c r="CSV5" s="582"/>
      <c r="CSW5" s="582"/>
      <c r="CSX5" s="582"/>
      <c r="CSY5" s="582"/>
      <c r="CSZ5" s="582"/>
      <c r="CTA5" s="582"/>
      <c r="CTB5" s="582"/>
      <c r="CTC5" s="582"/>
      <c r="CTD5" s="582"/>
      <c r="CTE5" s="582"/>
      <c r="CTF5" s="582"/>
      <c r="CTG5" s="582"/>
      <c r="CTH5" s="582"/>
      <c r="CTI5" s="582"/>
      <c r="CTJ5" s="582"/>
      <c r="CTK5" s="582"/>
      <c r="CTL5" s="582"/>
      <c r="CTM5" s="582"/>
      <c r="CTN5" s="582"/>
      <c r="CTO5" s="582"/>
      <c r="CTP5" s="582"/>
      <c r="CTQ5" s="582"/>
      <c r="CTR5" s="582"/>
      <c r="CTS5" s="582"/>
      <c r="CTT5" s="582"/>
      <c r="CTU5" s="582"/>
      <c r="CTV5" s="582"/>
      <c r="CTW5" s="582"/>
      <c r="CTX5" s="582"/>
      <c r="CTY5" s="582"/>
      <c r="CTZ5" s="582"/>
      <c r="CUA5" s="582"/>
      <c r="CUB5" s="582"/>
      <c r="CUC5" s="582"/>
      <c r="CUD5" s="582"/>
      <c r="CUE5" s="582"/>
      <c r="CUF5" s="582"/>
      <c r="CUG5" s="582"/>
      <c r="CUH5" s="582"/>
      <c r="CUI5" s="582"/>
      <c r="CUJ5" s="582"/>
      <c r="CUK5" s="582"/>
      <c r="CUL5" s="582"/>
      <c r="CUM5" s="582"/>
      <c r="CUN5" s="582"/>
      <c r="CUO5" s="582"/>
      <c r="CUP5" s="582"/>
      <c r="CUQ5" s="582"/>
      <c r="CUR5" s="582"/>
      <c r="CUS5" s="582"/>
      <c r="CUT5" s="582"/>
      <c r="CUU5" s="582"/>
      <c r="CUV5" s="582"/>
      <c r="CUW5" s="582"/>
      <c r="CUX5" s="582"/>
      <c r="CUY5" s="582"/>
      <c r="CUZ5" s="582"/>
      <c r="CVA5" s="582"/>
      <c r="CVB5" s="582"/>
      <c r="CVC5" s="582"/>
      <c r="CVD5" s="582"/>
      <c r="CVE5" s="582"/>
      <c r="CVF5" s="582"/>
      <c r="CVG5" s="582"/>
      <c r="CVH5" s="582"/>
      <c r="CVI5" s="582"/>
      <c r="CVJ5" s="582"/>
      <c r="CVK5" s="582"/>
      <c r="CVL5" s="582"/>
      <c r="CVM5" s="582"/>
      <c r="CVN5" s="582"/>
      <c r="CVO5" s="582"/>
      <c r="CVP5" s="582"/>
      <c r="CVQ5" s="582"/>
      <c r="CVR5" s="582"/>
      <c r="CVS5" s="582"/>
      <c r="CVT5" s="582"/>
      <c r="CVU5" s="582"/>
      <c r="CVV5" s="582"/>
      <c r="CVW5" s="582"/>
      <c r="CVX5" s="582"/>
      <c r="CVY5" s="582"/>
      <c r="CVZ5" s="582"/>
      <c r="CWA5" s="582"/>
      <c r="CWB5" s="582"/>
      <c r="CWC5" s="582"/>
      <c r="CWD5" s="582"/>
      <c r="CWE5" s="582"/>
      <c r="CWF5" s="582"/>
      <c r="CWG5" s="582"/>
      <c r="CWH5" s="582"/>
      <c r="CWI5" s="582"/>
      <c r="CWJ5" s="582"/>
      <c r="CWK5" s="582"/>
      <c r="CWL5" s="582"/>
      <c r="CWM5" s="582"/>
      <c r="CWN5" s="582"/>
      <c r="CWO5" s="582"/>
      <c r="CWP5" s="582"/>
      <c r="CWQ5" s="582"/>
      <c r="CWR5" s="582"/>
      <c r="CWS5" s="582"/>
      <c r="CWT5" s="582"/>
      <c r="CWU5" s="582"/>
      <c r="CWV5" s="582"/>
      <c r="CWW5" s="582"/>
      <c r="CWX5" s="582"/>
      <c r="CWY5" s="582"/>
      <c r="CWZ5" s="582"/>
      <c r="CXA5" s="582"/>
      <c r="CXB5" s="582"/>
      <c r="CXC5" s="582"/>
      <c r="CXD5" s="582"/>
      <c r="CXE5" s="582"/>
      <c r="CXF5" s="582"/>
      <c r="CXG5" s="582"/>
      <c r="CXH5" s="582"/>
      <c r="CXI5" s="582"/>
      <c r="CXJ5" s="582"/>
      <c r="CXK5" s="582"/>
      <c r="CXL5" s="582"/>
      <c r="CXM5" s="582"/>
      <c r="CXN5" s="582"/>
      <c r="CXO5" s="582"/>
      <c r="CXP5" s="582"/>
      <c r="CXQ5" s="582"/>
      <c r="CXR5" s="582"/>
      <c r="CXS5" s="582"/>
      <c r="CXT5" s="582"/>
      <c r="CXU5" s="582"/>
      <c r="CXV5" s="582"/>
      <c r="CXW5" s="582"/>
      <c r="CXX5" s="582"/>
      <c r="CXY5" s="582"/>
      <c r="CXZ5" s="582"/>
      <c r="CYA5" s="582"/>
      <c r="CYB5" s="582"/>
      <c r="CYC5" s="582"/>
      <c r="CYD5" s="582"/>
      <c r="CYE5" s="582"/>
      <c r="CYF5" s="582"/>
      <c r="CYG5" s="582"/>
      <c r="CYH5" s="582"/>
      <c r="CYI5" s="582"/>
      <c r="CYJ5" s="582"/>
      <c r="CYK5" s="582"/>
      <c r="CYL5" s="582"/>
      <c r="CYM5" s="582"/>
      <c r="CYN5" s="582"/>
      <c r="CYO5" s="582"/>
      <c r="CYP5" s="582"/>
      <c r="CYQ5" s="582"/>
      <c r="CYR5" s="582"/>
      <c r="CYS5" s="582"/>
      <c r="CYT5" s="582"/>
      <c r="CYU5" s="582"/>
      <c r="CYV5" s="582"/>
      <c r="CYW5" s="582"/>
      <c r="CYX5" s="582"/>
      <c r="CYY5" s="582"/>
      <c r="CYZ5" s="582"/>
      <c r="CZA5" s="582"/>
      <c r="CZB5" s="582"/>
      <c r="CZC5" s="582"/>
      <c r="CZD5" s="582"/>
      <c r="CZE5" s="582"/>
      <c r="CZF5" s="582"/>
      <c r="CZG5" s="582"/>
      <c r="CZH5" s="582"/>
      <c r="CZI5" s="582"/>
      <c r="CZJ5" s="582"/>
      <c r="CZK5" s="582"/>
      <c r="CZL5" s="582"/>
      <c r="CZM5" s="582"/>
      <c r="CZN5" s="582"/>
      <c r="CZO5" s="582"/>
      <c r="CZP5" s="582"/>
      <c r="CZQ5" s="582"/>
      <c r="CZR5" s="582"/>
      <c r="CZS5" s="582"/>
      <c r="CZT5" s="582"/>
      <c r="CZU5" s="582"/>
      <c r="CZV5" s="582"/>
      <c r="CZW5" s="582"/>
      <c r="CZX5" s="582"/>
      <c r="CZY5" s="582"/>
      <c r="CZZ5" s="582"/>
      <c r="DAA5" s="582"/>
      <c r="DAB5" s="582"/>
      <c r="DAC5" s="582"/>
      <c r="DAD5" s="582"/>
      <c r="DAE5" s="582"/>
      <c r="DAF5" s="582"/>
      <c r="DAG5" s="582"/>
      <c r="DAH5" s="582"/>
      <c r="DAI5" s="582"/>
      <c r="DAJ5" s="582"/>
      <c r="DAK5" s="582"/>
      <c r="DAL5" s="582"/>
      <c r="DAM5" s="582"/>
      <c r="DAN5" s="582"/>
      <c r="DAO5" s="582"/>
      <c r="DAP5" s="582"/>
      <c r="DAQ5" s="582"/>
      <c r="DAR5" s="582"/>
      <c r="DAS5" s="582"/>
      <c r="DAT5" s="582"/>
      <c r="DAU5" s="582"/>
      <c r="DAV5" s="582"/>
      <c r="DAW5" s="582"/>
      <c r="DAX5" s="582"/>
      <c r="DAY5" s="582"/>
      <c r="DAZ5" s="582"/>
      <c r="DBA5" s="582"/>
      <c r="DBB5" s="582"/>
      <c r="DBC5" s="582"/>
      <c r="DBD5" s="582"/>
      <c r="DBE5" s="582"/>
      <c r="DBF5" s="582"/>
      <c r="DBG5" s="582"/>
      <c r="DBH5" s="582"/>
      <c r="DBI5" s="582"/>
      <c r="DBJ5" s="582"/>
      <c r="DBK5" s="582"/>
      <c r="DBL5" s="582"/>
      <c r="DBM5" s="582"/>
      <c r="DBN5" s="582"/>
      <c r="DBO5" s="582"/>
      <c r="DBP5" s="582"/>
      <c r="DBQ5" s="582"/>
      <c r="DBR5" s="582"/>
      <c r="DBS5" s="582"/>
      <c r="DBT5" s="582"/>
      <c r="DBU5" s="582"/>
      <c r="DBV5" s="582"/>
      <c r="DBW5" s="582"/>
      <c r="DBX5" s="582"/>
      <c r="DBY5" s="582"/>
      <c r="DBZ5" s="582"/>
      <c r="DCA5" s="582"/>
      <c r="DCB5" s="582"/>
      <c r="DCC5" s="582"/>
      <c r="DCD5" s="582"/>
      <c r="DCE5" s="582"/>
      <c r="DCF5" s="582"/>
      <c r="DCG5" s="582"/>
      <c r="DCH5" s="582"/>
      <c r="DCI5" s="582"/>
      <c r="DCJ5" s="582"/>
      <c r="DCK5" s="582"/>
      <c r="DCL5" s="582"/>
      <c r="DCM5" s="582"/>
      <c r="DCN5" s="582"/>
      <c r="DCO5" s="582"/>
      <c r="DCP5" s="582"/>
      <c r="DCQ5" s="582"/>
      <c r="DCR5" s="582"/>
      <c r="DCS5" s="582"/>
      <c r="DCT5" s="582"/>
      <c r="DCU5" s="582"/>
      <c r="DCV5" s="582"/>
      <c r="DCW5" s="582"/>
      <c r="DCX5" s="582"/>
      <c r="DCY5" s="582"/>
      <c r="DCZ5" s="582"/>
      <c r="DDA5" s="582"/>
      <c r="DDB5" s="582"/>
      <c r="DDC5" s="582"/>
      <c r="DDD5" s="582"/>
      <c r="DDE5" s="582"/>
      <c r="DDF5" s="582"/>
      <c r="DDG5" s="582"/>
      <c r="DDH5" s="582"/>
      <c r="DDI5" s="582"/>
      <c r="DDJ5" s="582"/>
      <c r="DDK5" s="582"/>
      <c r="DDL5" s="582"/>
      <c r="DDM5" s="582"/>
      <c r="DDN5" s="582"/>
      <c r="DDO5" s="582"/>
      <c r="DDP5" s="582"/>
      <c r="DDQ5" s="582"/>
      <c r="DDR5" s="582"/>
      <c r="DDS5" s="582"/>
      <c r="DDT5" s="582"/>
      <c r="DDU5" s="582"/>
      <c r="DDV5" s="582"/>
      <c r="DDW5" s="582"/>
      <c r="DDX5" s="582"/>
      <c r="DDY5" s="582"/>
      <c r="DDZ5" s="582"/>
      <c r="DEA5" s="582"/>
      <c r="DEB5" s="582"/>
      <c r="DEC5" s="582"/>
      <c r="DED5" s="582"/>
      <c r="DEE5" s="582"/>
      <c r="DEF5" s="582"/>
      <c r="DEG5" s="582"/>
      <c r="DEH5" s="582"/>
      <c r="DEI5" s="582"/>
      <c r="DEJ5" s="582"/>
      <c r="DEK5" s="582"/>
      <c r="DEL5" s="582"/>
      <c r="DEM5" s="582"/>
      <c r="DEN5" s="582"/>
      <c r="DEO5" s="582"/>
      <c r="DEP5" s="582"/>
      <c r="DEQ5" s="582"/>
      <c r="DER5" s="582"/>
      <c r="DES5" s="582"/>
      <c r="DET5" s="582"/>
      <c r="DEU5" s="582"/>
      <c r="DEV5" s="582"/>
      <c r="DEW5" s="582"/>
      <c r="DEX5" s="582"/>
      <c r="DEY5" s="582"/>
      <c r="DEZ5" s="582"/>
      <c r="DFA5" s="582"/>
      <c r="DFB5" s="582"/>
      <c r="DFC5" s="582"/>
      <c r="DFD5" s="582"/>
      <c r="DFE5" s="582"/>
      <c r="DFF5" s="582"/>
      <c r="DFG5" s="582"/>
      <c r="DFH5" s="582"/>
      <c r="DFI5" s="582"/>
      <c r="DFJ5" s="582"/>
      <c r="DFK5" s="582"/>
      <c r="DFL5" s="582"/>
      <c r="DFM5" s="582"/>
      <c r="DFN5" s="582"/>
      <c r="DFO5" s="582"/>
      <c r="DFP5" s="582"/>
      <c r="DFQ5" s="582"/>
      <c r="DFR5" s="582"/>
      <c r="DFS5" s="582"/>
      <c r="DFT5" s="582"/>
      <c r="DFU5" s="582"/>
      <c r="DFV5" s="582"/>
      <c r="DFW5" s="582"/>
      <c r="DFX5" s="582"/>
      <c r="DFY5" s="582"/>
      <c r="DFZ5" s="582"/>
      <c r="DGA5" s="582"/>
      <c r="DGB5" s="582"/>
      <c r="DGC5" s="582"/>
      <c r="DGD5" s="582"/>
      <c r="DGE5" s="582"/>
      <c r="DGF5" s="582"/>
      <c r="DGG5" s="582"/>
      <c r="DGH5" s="582"/>
      <c r="DGI5" s="582"/>
      <c r="DGJ5" s="582"/>
      <c r="DGK5" s="582"/>
      <c r="DGL5" s="582"/>
      <c r="DGM5" s="582"/>
      <c r="DGN5" s="582"/>
      <c r="DGO5" s="582"/>
      <c r="DGP5" s="582"/>
      <c r="DGQ5" s="582"/>
      <c r="DGR5" s="582"/>
      <c r="DGS5" s="582"/>
      <c r="DGT5" s="582"/>
      <c r="DGU5" s="582"/>
      <c r="DGV5" s="582"/>
      <c r="DGW5" s="582"/>
      <c r="DGX5" s="582"/>
      <c r="DGY5" s="582"/>
      <c r="DGZ5" s="582"/>
      <c r="DHA5" s="582"/>
      <c r="DHB5" s="582"/>
      <c r="DHC5" s="582"/>
      <c r="DHD5" s="582"/>
      <c r="DHE5" s="582"/>
      <c r="DHF5" s="582"/>
      <c r="DHG5" s="582"/>
      <c r="DHH5" s="582"/>
      <c r="DHI5" s="582"/>
      <c r="DHJ5" s="582"/>
      <c r="DHK5" s="582"/>
      <c r="DHL5" s="582"/>
      <c r="DHM5" s="582"/>
      <c r="DHN5" s="582"/>
      <c r="DHO5" s="582"/>
      <c r="DHP5" s="582"/>
      <c r="DHQ5" s="582"/>
      <c r="DHR5" s="582"/>
      <c r="DHS5" s="582"/>
      <c r="DHT5" s="582"/>
      <c r="DHU5" s="582"/>
      <c r="DHV5" s="582"/>
      <c r="DHW5" s="582"/>
      <c r="DHX5" s="582"/>
      <c r="DHY5" s="582"/>
      <c r="DHZ5" s="582"/>
      <c r="DIA5" s="582"/>
      <c r="DIB5" s="582"/>
      <c r="DIC5" s="582"/>
      <c r="DID5" s="582"/>
      <c r="DIE5" s="582"/>
      <c r="DIF5" s="582"/>
      <c r="DIG5" s="582"/>
      <c r="DIH5" s="582"/>
      <c r="DII5" s="582"/>
      <c r="DIJ5" s="582"/>
      <c r="DIK5" s="582"/>
      <c r="DIL5" s="582"/>
      <c r="DIM5" s="582"/>
      <c r="DIN5" s="582"/>
      <c r="DIO5" s="582"/>
      <c r="DIP5" s="582"/>
      <c r="DIQ5" s="582"/>
      <c r="DIR5" s="582"/>
      <c r="DIS5" s="582"/>
      <c r="DIT5" s="582"/>
      <c r="DIU5" s="582"/>
      <c r="DIV5" s="582"/>
      <c r="DIW5" s="582"/>
      <c r="DIX5" s="582"/>
      <c r="DIY5" s="582"/>
      <c r="DIZ5" s="582"/>
      <c r="DJA5" s="582"/>
      <c r="DJB5" s="582"/>
      <c r="DJC5" s="582"/>
      <c r="DJD5" s="582"/>
      <c r="DJE5" s="582"/>
      <c r="DJF5" s="582"/>
      <c r="DJG5" s="582"/>
      <c r="DJH5" s="582"/>
      <c r="DJI5" s="582"/>
      <c r="DJJ5" s="582"/>
      <c r="DJK5" s="582"/>
      <c r="DJL5" s="582"/>
      <c r="DJM5" s="582"/>
      <c r="DJN5" s="582"/>
      <c r="DJO5" s="582"/>
      <c r="DJP5" s="582"/>
      <c r="DJQ5" s="582"/>
      <c r="DJR5" s="582"/>
      <c r="DJS5" s="582"/>
      <c r="DJT5" s="582"/>
      <c r="DJU5" s="582"/>
      <c r="DJV5" s="582"/>
      <c r="DJW5" s="582"/>
      <c r="DJX5" s="582"/>
      <c r="DJY5" s="582"/>
      <c r="DJZ5" s="582"/>
      <c r="DKA5" s="582"/>
      <c r="DKB5" s="582"/>
      <c r="DKC5" s="582"/>
      <c r="DKD5" s="582"/>
      <c r="DKE5" s="582"/>
      <c r="DKF5" s="582"/>
      <c r="DKG5" s="582"/>
      <c r="DKH5" s="582"/>
      <c r="DKI5" s="582"/>
      <c r="DKJ5" s="582"/>
      <c r="DKK5" s="582"/>
      <c r="DKL5" s="582"/>
      <c r="DKM5" s="582"/>
      <c r="DKN5" s="582"/>
      <c r="DKO5" s="582"/>
      <c r="DKP5" s="582"/>
      <c r="DKQ5" s="582"/>
      <c r="DKR5" s="582"/>
      <c r="DKS5" s="582"/>
      <c r="DKT5" s="582"/>
      <c r="DKU5" s="582"/>
      <c r="DKV5" s="582"/>
      <c r="DKW5" s="582"/>
      <c r="DKX5" s="582"/>
      <c r="DKY5" s="582"/>
      <c r="DKZ5" s="582"/>
      <c r="DLA5" s="582"/>
      <c r="DLB5" s="582"/>
      <c r="DLC5" s="582"/>
      <c r="DLD5" s="582"/>
      <c r="DLE5" s="582"/>
      <c r="DLF5" s="582"/>
      <c r="DLG5" s="582"/>
      <c r="DLH5" s="582"/>
      <c r="DLI5" s="582"/>
      <c r="DLJ5" s="582"/>
      <c r="DLK5" s="582"/>
      <c r="DLL5" s="582"/>
      <c r="DLM5" s="582"/>
      <c r="DLN5" s="582"/>
      <c r="DLO5" s="582"/>
      <c r="DLP5" s="582"/>
      <c r="DLQ5" s="582"/>
      <c r="DLR5" s="582"/>
      <c r="DLS5" s="582"/>
      <c r="DLT5" s="582"/>
      <c r="DLU5" s="582"/>
      <c r="DLV5" s="582"/>
      <c r="DLW5" s="582"/>
      <c r="DLX5" s="582"/>
      <c r="DLY5" s="582"/>
      <c r="DLZ5" s="582"/>
      <c r="DMA5" s="582"/>
      <c r="DMB5" s="582"/>
      <c r="DMC5" s="582"/>
      <c r="DMD5" s="582"/>
      <c r="DME5" s="582"/>
      <c r="DMF5" s="582"/>
      <c r="DMG5" s="582"/>
      <c r="DMH5" s="582"/>
      <c r="DMI5" s="582"/>
      <c r="DMJ5" s="582"/>
      <c r="DMK5" s="582"/>
      <c r="DML5" s="582"/>
      <c r="DMM5" s="582"/>
      <c r="DMN5" s="582"/>
      <c r="DMO5" s="582"/>
      <c r="DMP5" s="582"/>
      <c r="DMQ5" s="582"/>
      <c r="DMR5" s="582"/>
      <c r="DMS5" s="582"/>
      <c r="DMT5" s="582"/>
      <c r="DMU5" s="582"/>
      <c r="DMV5" s="582"/>
      <c r="DMW5" s="582"/>
      <c r="DMX5" s="582"/>
      <c r="DMY5" s="582"/>
      <c r="DMZ5" s="582"/>
      <c r="DNA5" s="582"/>
      <c r="DNB5" s="582"/>
      <c r="DNC5" s="582"/>
      <c r="DND5" s="582"/>
      <c r="DNE5" s="582"/>
      <c r="DNF5" s="582"/>
      <c r="DNG5" s="582"/>
      <c r="DNH5" s="582"/>
      <c r="DNI5" s="582"/>
      <c r="DNJ5" s="582"/>
      <c r="DNK5" s="582"/>
      <c r="DNL5" s="582"/>
      <c r="DNM5" s="582"/>
      <c r="DNN5" s="582"/>
      <c r="DNO5" s="582"/>
      <c r="DNP5" s="582"/>
      <c r="DNQ5" s="582"/>
      <c r="DNR5" s="582"/>
      <c r="DNS5" s="582"/>
      <c r="DNT5" s="582"/>
      <c r="DNU5" s="582"/>
      <c r="DNV5" s="582"/>
      <c r="DNW5" s="582"/>
      <c r="DNX5" s="582"/>
      <c r="DNY5" s="582"/>
      <c r="DNZ5" s="582"/>
      <c r="DOA5" s="582"/>
      <c r="DOB5" s="582"/>
      <c r="DOC5" s="582"/>
      <c r="DOD5" s="582"/>
      <c r="DOE5" s="582"/>
      <c r="DOF5" s="582"/>
      <c r="DOG5" s="582"/>
      <c r="DOH5" s="582"/>
      <c r="DOI5" s="582"/>
      <c r="DOJ5" s="582"/>
      <c r="DOK5" s="582"/>
      <c r="DOL5" s="582"/>
      <c r="DOM5" s="582"/>
      <c r="DON5" s="582"/>
      <c r="DOO5" s="582"/>
      <c r="DOP5" s="582"/>
      <c r="DOQ5" s="582"/>
      <c r="DOR5" s="582"/>
      <c r="DOS5" s="582"/>
      <c r="DOT5" s="582"/>
      <c r="DOU5" s="582"/>
      <c r="DOV5" s="582"/>
      <c r="DOW5" s="582"/>
      <c r="DOX5" s="582"/>
      <c r="DOY5" s="582"/>
      <c r="DOZ5" s="582"/>
      <c r="DPA5" s="582"/>
      <c r="DPB5" s="582"/>
      <c r="DPC5" s="582"/>
      <c r="DPD5" s="582"/>
      <c r="DPE5" s="582"/>
      <c r="DPF5" s="582"/>
      <c r="DPG5" s="582"/>
      <c r="DPH5" s="582"/>
      <c r="DPI5" s="582"/>
      <c r="DPJ5" s="582"/>
      <c r="DPK5" s="582"/>
      <c r="DPL5" s="582"/>
      <c r="DPM5" s="582"/>
      <c r="DPN5" s="582"/>
      <c r="DPO5" s="582"/>
      <c r="DPP5" s="582"/>
      <c r="DPQ5" s="582"/>
      <c r="DPR5" s="582"/>
      <c r="DPS5" s="582"/>
      <c r="DPT5" s="582"/>
      <c r="DPU5" s="582"/>
      <c r="DPV5" s="582"/>
      <c r="DPW5" s="582"/>
      <c r="DPX5" s="582"/>
      <c r="DPY5" s="582"/>
      <c r="DPZ5" s="582"/>
      <c r="DQA5" s="582"/>
      <c r="DQB5" s="582"/>
      <c r="DQC5" s="582"/>
      <c r="DQD5" s="582"/>
      <c r="DQE5" s="582"/>
      <c r="DQF5" s="582"/>
      <c r="DQG5" s="582"/>
      <c r="DQH5" s="582"/>
      <c r="DQI5" s="582"/>
      <c r="DQJ5" s="582"/>
      <c r="DQK5" s="582"/>
      <c r="DQL5" s="582"/>
      <c r="DQM5" s="582"/>
      <c r="DQN5" s="582"/>
      <c r="DQO5" s="582"/>
      <c r="DQP5" s="582"/>
      <c r="DQQ5" s="582"/>
      <c r="DQR5" s="582"/>
      <c r="DQS5" s="582"/>
      <c r="DQT5" s="582"/>
      <c r="DQU5" s="582"/>
      <c r="DQV5" s="582"/>
      <c r="DQW5" s="582"/>
      <c r="DQX5" s="582"/>
      <c r="DQY5" s="582"/>
      <c r="DQZ5" s="582"/>
      <c r="DRA5" s="582"/>
      <c r="DRB5" s="582"/>
      <c r="DRC5" s="582"/>
      <c r="DRD5" s="582"/>
      <c r="DRE5" s="582"/>
      <c r="DRF5" s="582"/>
      <c r="DRG5" s="582"/>
      <c r="DRH5" s="582"/>
      <c r="DRI5" s="582"/>
      <c r="DRJ5" s="582"/>
      <c r="DRK5" s="582"/>
      <c r="DRL5" s="582"/>
      <c r="DRM5" s="582"/>
      <c r="DRN5" s="582"/>
      <c r="DRO5" s="582"/>
      <c r="DRP5" s="582"/>
      <c r="DRQ5" s="582"/>
      <c r="DRR5" s="582"/>
      <c r="DRS5" s="582"/>
      <c r="DRT5" s="582"/>
      <c r="DRU5" s="582"/>
      <c r="DRV5" s="582"/>
      <c r="DRW5" s="582"/>
      <c r="DRX5" s="582"/>
      <c r="DRY5" s="582"/>
      <c r="DRZ5" s="582"/>
      <c r="DSA5" s="582"/>
      <c r="DSB5" s="582"/>
      <c r="DSC5" s="582"/>
      <c r="DSD5" s="582"/>
      <c r="DSE5" s="582"/>
      <c r="DSF5" s="582"/>
      <c r="DSG5" s="582"/>
      <c r="DSH5" s="582"/>
      <c r="DSI5" s="582"/>
      <c r="DSJ5" s="582"/>
      <c r="DSK5" s="582"/>
      <c r="DSL5" s="582"/>
      <c r="DSM5" s="582"/>
      <c r="DSN5" s="582"/>
      <c r="DSO5" s="582"/>
      <c r="DSP5" s="582"/>
      <c r="DSQ5" s="582"/>
      <c r="DSR5" s="582"/>
      <c r="DSS5" s="582"/>
      <c r="DST5" s="582"/>
      <c r="DSU5" s="582"/>
      <c r="DSV5" s="582"/>
      <c r="DSW5" s="582"/>
      <c r="DSX5" s="582"/>
      <c r="DSY5" s="582"/>
      <c r="DSZ5" s="582"/>
      <c r="DTA5" s="582"/>
      <c r="DTB5" s="582"/>
      <c r="DTC5" s="582"/>
      <c r="DTD5" s="582"/>
      <c r="DTE5" s="582"/>
      <c r="DTF5" s="582"/>
      <c r="DTG5" s="582"/>
      <c r="DTH5" s="582"/>
      <c r="DTI5" s="582"/>
      <c r="DTJ5" s="582"/>
      <c r="DTK5" s="582"/>
      <c r="DTL5" s="582"/>
      <c r="DTM5" s="582"/>
      <c r="DTN5" s="582"/>
      <c r="DTO5" s="582"/>
      <c r="DTP5" s="582"/>
      <c r="DTQ5" s="582"/>
      <c r="DTR5" s="582"/>
      <c r="DTS5" s="582"/>
      <c r="DTT5" s="582"/>
      <c r="DTU5" s="582"/>
      <c r="DTV5" s="582"/>
      <c r="DTW5" s="582"/>
      <c r="DTX5" s="582"/>
      <c r="DTY5" s="582"/>
      <c r="DTZ5" s="582"/>
      <c r="DUA5" s="582"/>
      <c r="DUB5" s="582"/>
      <c r="DUC5" s="582"/>
      <c r="DUD5" s="582"/>
      <c r="DUE5" s="582"/>
      <c r="DUF5" s="582"/>
      <c r="DUG5" s="582"/>
      <c r="DUH5" s="582"/>
      <c r="DUI5" s="582"/>
      <c r="DUJ5" s="582"/>
      <c r="DUK5" s="582"/>
      <c r="DUL5" s="582"/>
      <c r="DUM5" s="582"/>
      <c r="DUN5" s="582"/>
      <c r="DUO5" s="582"/>
      <c r="DUP5" s="582"/>
      <c r="DUQ5" s="582"/>
      <c r="DUR5" s="582"/>
      <c r="DUS5" s="582"/>
      <c r="DUT5" s="582"/>
      <c r="DUU5" s="582"/>
      <c r="DUV5" s="582"/>
      <c r="DUW5" s="582"/>
      <c r="DUX5" s="582"/>
      <c r="DUY5" s="582"/>
      <c r="DUZ5" s="582"/>
      <c r="DVA5" s="582"/>
      <c r="DVB5" s="582"/>
      <c r="DVC5" s="582"/>
      <c r="DVD5" s="582"/>
      <c r="DVE5" s="582"/>
      <c r="DVF5" s="582"/>
      <c r="DVG5" s="582"/>
      <c r="DVH5" s="582"/>
      <c r="DVI5" s="582"/>
      <c r="DVJ5" s="582"/>
      <c r="DVK5" s="582"/>
      <c r="DVL5" s="582"/>
      <c r="DVM5" s="582"/>
      <c r="DVN5" s="582"/>
      <c r="DVO5" s="582"/>
      <c r="DVP5" s="582"/>
      <c r="DVQ5" s="582"/>
      <c r="DVR5" s="582"/>
      <c r="DVS5" s="582"/>
      <c r="DVT5" s="582"/>
      <c r="DVU5" s="582"/>
      <c r="DVV5" s="582"/>
      <c r="DVW5" s="582"/>
      <c r="DVX5" s="582"/>
      <c r="DVY5" s="582"/>
      <c r="DVZ5" s="582"/>
      <c r="DWA5" s="582"/>
      <c r="DWB5" s="582"/>
      <c r="DWC5" s="582"/>
      <c r="DWD5" s="582"/>
      <c r="DWE5" s="582"/>
      <c r="DWF5" s="582"/>
      <c r="DWG5" s="582"/>
      <c r="DWH5" s="582"/>
      <c r="DWI5" s="582"/>
      <c r="DWJ5" s="582"/>
      <c r="DWK5" s="582"/>
      <c r="DWL5" s="582"/>
      <c r="DWM5" s="582"/>
      <c r="DWN5" s="582"/>
      <c r="DWO5" s="582"/>
      <c r="DWP5" s="582"/>
      <c r="DWQ5" s="582"/>
      <c r="DWR5" s="582"/>
      <c r="DWS5" s="582"/>
      <c r="DWT5" s="582"/>
      <c r="DWU5" s="582"/>
      <c r="DWV5" s="582"/>
      <c r="DWW5" s="582"/>
      <c r="DWX5" s="582"/>
      <c r="DWY5" s="582"/>
      <c r="DWZ5" s="582"/>
      <c r="DXA5" s="582"/>
      <c r="DXB5" s="582"/>
      <c r="DXC5" s="582"/>
      <c r="DXD5" s="582"/>
      <c r="DXE5" s="582"/>
      <c r="DXF5" s="582"/>
      <c r="DXG5" s="582"/>
      <c r="DXH5" s="582"/>
      <c r="DXI5" s="582"/>
      <c r="DXJ5" s="582"/>
      <c r="DXK5" s="582"/>
      <c r="DXL5" s="582"/>
      <c r="DXM5" s="582"/>
      <c r="DXN5" s="582"/>
      <c r="DXO5" s="582"/>
      <c r="DXP5" s="582"/>
      <c r="DXQ5" s="582"/>
      <c r="DXR5" s="582"/>
      <c r="DXS5" s="582"/>
      <c r="DXT5" s="582"/>
      <c r="DXU5" s="582"/>
      <c r="DXV5" s="582"/>
      <c r="DXW5" s="582"/>
      <c r="DXX5" s="582"/>
      <c r="DXY5" s="582"/>
      <c r="DXZ5" s="582"/>
      <c r="DYA5" s="582"/>
      <c r="DYB5" s="582"/>
      <c r="DYC5" s="582"/>
      <c r="DYD5" s="582"/>
      <c r="DYE5" s="582"/>
      <c r="DYF5" s="582"/>
      <c r="DYG5" s="582"/>
      <c r="DYH5" s="582"/>
      <c r="DYI5" s="582"/>
      <c r="DYJ5" s="582"/>
      <c r="DYK5" s="582"/>
      <c r="DYL5" s="582"/>
      <c r="DYM5" s="582"/>
      <c r="DYN5" s="582"/>
      <c r="DYO5" s="582"/>
      <c r="DYP5" s="582"/>
      <c r="DYQ5" s="582"/>
      <c r="DYR5" s="582"/>
      <c r="DYS5" s="582"/>
      <c r="DYT5" s="582"/>
      <c r="DYU5" s="582"/>
      <c r="DYV5" s="582"/>
      <c r="DYW5" s="582"/>
      <c r="DYX5" s="582"/>
      <c r="DYY5" s="582"/>
      <c r="DYZ5" s="582"/>
      <c r="DZA5" s="582"/>
      <c r="DZB5" s="582"/>
      <c r="DZC5" s="582"/>
      <c r="DZD5" s="582"/>
      <c r="DZE5" s="582"/>
      <c r="DZF5" s="582"/>
      <c r="DZG5" s="582"/>
      <c r="DZH5" s="582"/>
      <c r="DZI5" s="582"/>
      <c r="DZJ5" s="582"/>
      <c r="DZK5" s="582"/>
      <c r="DZL5" s="582"/>
      <c r="DZM5" s="582"/>
      <c r="DZN5" s="582"/>
      <c r="DZO5" s="582"/>
      <c r="DZP5" s="582"/>
      <c r="DZQ5" s="582"/>
      <c r="DZR5" s="582"/>
      <c r="DZS5" s="582"/>
      <c r="DZT5" s="582"/>
      <c r="DZU5" s="582"/>
      <c r="DZV5" s="582"/>
      <c r="DZW5" s="582"/>
      <c r="DZX5" s="582"/>
      <c r="DZY5" s="582"/>
      <c r="DZZ5" s="582"/>
      <c r="EAA5" s="582"/>
      <c r="EAB5" s="582"/>
      <c r="EAC5" s="582"/>
      <c r="EAD5" s="582"/>
      <c r="EAE5" s="582"/>
      <c r="EAF5" s="582"/>
      <c r="EAG5" s="582"/>
      <c r="EAH5" s="582"/>
      <c r="EAI5" s="582"/>
      <c r="EAJ5" s="582"/>
      <c r="EAK5" s="582"/>
      <c r="EAL5" s="582"/>
      <c r="EAM5" s="582"/>
      <c r="EAN5" s="582"/>
      <c r="EAO5" s="582"/>
      <c r="EAP5" s="582"/>
      <c r="EAQ5" s="582"/>
      <c r="EAR5" s="582"/>
      <c r="EAS5" s="582"/>
      <c r="EAT5" s="582"/>
      <c r="EAU5" s="582"/>
      <c r="EAV5" s="582"/>
      <c r="EAW5" s="582"/>
      <c r="EAX5" s="582"/>
      <c r="EAY5" s="582"/>
      <c r="EAZ5" s="582"/>
      <c r="EBA5" s="582"/>
      <c r="EBB5" s="582"/>
      <c r="EBC5" s="582"/>
      <c r="EBD5" s="582"/>
      <c r="EBE5" s="582"/>
      <c r="EBF5" s="582"/>
      <c r="EBG5" s="582"/>
      <c r="EBH5" s="582"/>
      <c r="EBI5" s="582"/>
      <c r="EBJ5" s="582"/>
      <c r="EBK5" s="582"/>
      <c r="EBL5" s="582"/>
      <c r="EBM5" s="582"/>
      <c r="EBN5" s="582"/>
      <c r="EBO5" s="582"/>
      <c r="EBP5" s="582"/>
      <c r="EBQ5" s="582"/>
      <c r="EBR5" s="582"/>
      <c r="EBS5" s="582"/>
      <c r="EBT5" s="582"/>
      <c r="EBU5" s="582"/>
      <c r="EBV5" s="582"/>
      <c r="EBW5" s="582"/>
      <c r="EBX5" s="582"/>
      <c r="EBY5" s="582"/>
      <c r="EBZ5" s="582"/>
      <c r="ECA5" s="582"/>
      <c r="ECB5" s="582"/>
      <c r="ECC5" s="582"/>
      <c r="ECD5" s="582"/>
      <c r="ECE5" s="582"/>
      <c r="ECF5" s="582"/>
      <c r="ECG5" s="582"/>
      <c r="ECH5" s="582"/>
      <c r="ECI5" s="582"/>
      <c r="ECJ5" s="582"/>
      <c r="ECK5" s="582"/>
      <c r="ECL5" s="582"/>
      <c r="ECM5" s="582"/>
      <c r="ECN5" s="582"/>
      <c r="ECO5" s="582"/>
      <c r="ECP5" s="582"/>
      <c r="ECQ5" s="582"/>
      <c r="ECR5" s="582"/>
      <c r="ECS5" s="582"/>
      <c r="ECT5" s="582"/>
      <c r="ECU5" s="582"/>
      <c r="ECV5" s="582"/>
      <c r="ECW5" s="582"/>
      <c r="ECX5" s="582"/>
      <c r="ECY5" s="582"/>
      <c r="ECZ5" s="582"/>
      <c r="EDA5" s="582"/>
      <c r="EDB5" s="582"/>
      <c r="EDC5" s="582"/>
      <c r="EDD5" s="582"/>
      <c r="EDE5" s="582"/>
      <c r="EDF5" s="582"/>
      <c r="EDG5" s="582"/>
      <c r="EDH5" s="582"/>
      <c r="EDI5" s="582"/>
      <c r="EDJ5" s="582"/>
      <c r="EDK5" s="582"/>
      <c r="EDL5" s="582"/>
      <c r="EDM5" s="582"/>
      <c r="EDN5" s="582"/>
      <c r="EDO5" s="582"/>
      <c r="EDP5" s="582"/>
      <c r="EDQ5" s="582"/>
      <c r="EDR5" s="582"/>
      <c r="EDS5" s="582"/>
      <c r="EDT5" s="582"/>
      <c r="EDU5" s="582"/>
      <c r="EDV5" s="582"/>
      <c r="EDW5" s="582"/>
      <c r="EDX5" s="582"/>
      <c r="EDY5" s="582"/>
      <c r="EDZ5" s="582"/>
      <c r="EEA5" s="582"/>
      <c r="EEB5" s="582"/>
      <c r="EEC5" s="582"/>
      <c r="EED5" s="582"/>
      <c r="EEE5" s="582"/>
      <c r="EEF5" s="582"/>
      <c r="EEG5" s="582"/>
      <c r="EEH5" s="582"/>
      <c r="EEI5" s="582"/>
      <c r="EEJ5" s="582"/>
      <c r="EEK5" s="582"/>
      <c r="EEL5" s="582"/>
      <c r="EEM5" s="582"/>
      <c r="EEN5" s="582"/>
      <c r="EEO5" s="582"/>
      <c r="EEP5" s="582"/>
      <c r="EEQ5" s="582"/>
      <c r="EER5" s="582"/>
      <c r="EES5" s="582"/>
      <c r="EET5" s="582"/>
      <c r="EEU5" s="582"/>
      <c r="EEV5" s="582"/>
      <c r="EEW5" s="582"/>
      <c r="EEX5" s="582"/>
      <c r="EEY5" s="582"/>
      <c r="EEZ5" s="582"/>
      <c r="EFA5" s="582"/>
      <c r="EFB5" s="582"/>
      <c r="EFC5" s="582"/>
      <c r="EFD5" s="582"/>
      <c r="EFE5" s="582"/>
      <c r="EFF5" s="582"/>
      <c r="EFG5" s="582"/>
      <c r="EFH5" s="582"/>
      <c r="EFI5" s="582"/>
      <c r="EFJ5" s="582"/>
      <c r="EFK5" s="582"/>
      <c r="EFL5" s="582"/>
      <c r="EFM5" s="582"/>
      <c r="EFN5" s="582"/>
      <c r="EFO5" s="582"/>
      <c r="EFP5" s="582"/>
      <c r="EFQ5" s="582"/>
      <c r="EFR5" s="582"/>
      <c r="EFS5" s="582"/>
      <c r="EFT5" s="582"/>
      <c r="EFU5" s="582"/>
      <c r="EFV5" s="582"/>
      <c r="EFW5" s="582"/>
      <c r="EFX5" s="582"/>
      <c r="EFY5" s="582"/>
      <c r="EFZ5" s="582"/>
      <c r="EGA5" s="582"/>
      <c r="EGB5" s="582"/>
      <c r="EGC5" s="582"/>
      <c r="EGD5" s="582"/>
      <c r="EGE5" s="582"/>
      <c r="EGF5" s="582"/>
      <c r="EGG5" s="582"/>
      <c r="EGH5" s="582"/>
      <c r="EGI5" s="582"/>
      <c r="EGJ5" s="582"/>
      <c r="EGK5" s="582"/>
      <c r="EGL5" s="582"/>
      <c r="EGM5" s="582"/>
      <c r="EGN5" s="582"/>
      <c r="EGO5" s="582"/>
      <c r="EGP5" s="582"/>
      <c r="EGQ5" s="582"/>
      <c r="EGR5" s="582"/>
      <c r="EGS5" s="582"/>
      <c r="EGT5" s="582"/>
      <c r="EGU5" s="582"/>
      <c r="EGV5" s="582"/>
      <c r="EGW5" s="582"/>
      <c r="EGX5" s="582"/>
      <c r="EGY5" s="582"/>
      <c r="EGZ5" s="582"/>
      <c r="EHA5" s="582"/>
      <c r="EHB5" s="582"/>
      <c r="EHC5" s="582"/>
      <c r="EHD5" s="582"/>
      <c r="EHE5" s="582"/>
      <c r="EHF5" s="582"/>
      <c r="EHG5" s="582"/>
      <c r="EHH5" s="582"/>
      <c r="EHI5" s="582"/>
      <c r="EHJ5" s="582"/>
      <c r="EHK5" s="582"/>
      <c r="EHL5" s="582"/>
      <c r="EHM5" s="582"/>
      <c r="EHN5" s="582"/>
      <c r="EHO5" s="582"/>
      <c r="EHP5" s="582"/>
      <c r="EHQ5" s="582"/>
      <c r="EHR5" s="582"/>
      <c r="EHS5" s="582"/>
      <c r="EHT5" s="582"/>
      <c r="EHU5" s="582"/>
      <c r="EHV5" s="582"/>
      <c r="EHW5" s="582"/>
      <c r="EHX5" s="582"/>
      <c r="EHY5" s="582"/>
      <c r="EHZ5" s="582"/>
      <c r="EIA5" s="582"/>
      <c r="EIB5" s="582"/>
      <c r="EIC5" s="582"/>
      <c r="EID5" s="582"/>
      <c r="EIE5" s="582"/>
      <c r="EIF5" s="582"/>
      <c r="EIG5" s="582"/>
      <c r="EIH5" s="582"/>
      <c r="EII5" s="582"/>
      <c r="EIJ5" s="582"/>
      <c r="EIK5" s="582"/>
      <c r="EIL5" s="582"/>
      <c r="EIM5" s="582"/>
      <c r="EIN5" s="582"/>
      <c r="EIO5" s="582"/>
      <c r="EIP5" s="582"/>
      <c r="EIQ5" s="582"/>
      <c r="EIR5" s="582"/>
      <c r="EIS5" s="582"/>
      <c r="EIT5" s="582"/>
      <c r="EIU5" s="582"/>
      <c r="EIV5" s="582"/>
      <c r="EIW5" s="582"/>
      <c r="EIX5" s="582"/>
      <c r="EIY5" s="582"/>
      <c r="EIZ5" s="582"/>
      <c r="EJA5" s="582"/>
      <c r="EJB5" s="582"/>
      <c r="EJC5" s="582"/>
      <c r="EJD5" s="582"/>
      <c r="EJE5" s="582"/>
      <c r="EJF5" s="582"/>
      <c r="EJG5" s="582"/>
      <c r="EJH5" s="582"/>
      <c r="EJI5" s="582"/>
      <c r="EJJ5" s="582"/>
      <c r="EJK5" s="582"/>
      <c r="EJL5" s="582"/>
      <c r="EJM5" s="582"/>
      <c r="EJN5" s="582"/>
      <c r="EJO5" s="582"/>
      <c r="EJP5" s="582"/>
      <c r="EJQ5" s="582"/>
      <c r="EJR5" s="582"/>
      <c r="EJS5" s="582"/>
      <c r="EJT5" s="582"/>
      <c r="EJU5" s="582"/>
      <c r="EJV5" s="582"/>
      <c r="EJW5" s="582"/>
      <c r="EJX5" s="582"/>
      <c r="EJY5" s="582"/>
      <c r="EJZ5" s="582"/>
      <c r="EKA5" s="582"/>
      <c r="EKB5" s="582"/>
      <c r="EKC5" s="582"/>
      <c r="EKD5" s="582"/>
      <c r="EKE5" s="582"/>
      <c r="EKF5" s="582"/>
      <c r="EKG5" s="582"/>
      <c r="EKH5" s="582"/>
      <c r="EKI5" s="582"/>
      <c r="EKJ5" s="582"/>
      <c r="EKK5" s="582"/>
      <c r="EKL5" s="582"/>
      <c r="EKM5" s="582"/>
      <c r="EKN5" s="582"/>
      <c r="EKO5" s="582"/>
      <c r="EKP5" s="582"/>
      <c r="EKQ5" s="582"/>
      <c r="EKR5" s="582"/>
      <c r="EKS5" s="582"/>
      <c r="EKT5" s="582"/>
      <c r="EKU5" s="582"/>
      <c r="EKV5" s="582"/>
      <c r="EKW5" s="582"/>
      <c r="EKX5" s="582"/>
      <c r="EKY5" s="582"/>
      <c r="EKZ5" s="582"/>
      <c r="ELA5" s="582"/>
      <c r="ELB5" s="582"/>
      <c r="ELC5" s="582"/>
      <c r="ELD5" s="582"/>
      <c r="ELE5" s="582"/>
      <c r="ELF5" s="582"/>
      <c r="ELG5" s="582"/>
      <c r="ELH5" s="582"/>
      <c r="ELI5" s="582"/>
      <c r="ELJ5" s="582"/>
      <c r="ELK5" s="582"/>
      <c r="ELL5" s="582"/>
      <c r="ELM5" s="582"/>
      <c r="ELN5" s="582"/>
      <c r="ELO5" s="582"/>
      <c r="ELP5" s="582"/>
      <c r="ELQ5" s="582"/>
      <c r="ELR5" s="582"/>
      <c r="ELS5" s="582"/>
      <c r="ELT5" s="582"/>
      <c r="ELU5" s="582"/>
      <c r="ELV5" s="582"/>
      <c r="ELW5" s="582"/>
      <c r="ELX5" s="582"/>
      <c r="ELY5" s="582"/>
      <c r="ELZ5" s="582"/>
      <c r="EMA5" s="582"/>
      <c r="EMB5" s="582"/>
      <c r="EMC5" s="582"/>
      <c r="EMD5" s="582"/>
      <c r="EME5" s="582"/>
      <c r="EMF5" s="582"/>
      <c r="EMG5" s="582"/>
      <c r="EMH5" s="582"/>
      <c r="EMI5" s="582"/>
      <c r="EMJ5" s="582"/>
      <c r="EMK5" s="582"/>
      <c r="EML5" s="582"/>
      <c r="EMM5" s="582"/>
      <c r="EMN5" s="582"/>
      <c r="EMO5" s="582"/>
      <c r="EMP5" s="582"/>
      <c r="EMQ5" s="582"/>
      <c r="EMR5" s="582"/>
      <c r="EMS5" s="582"/>
      <c r="EMT5" s="582"/>
      <c r="EMU5" s="582"/>
      <c r="EMV5" s="582"/>
      <c r="EMW5" s="582"/>
      <c r="EMX5" s="582"/>
      <c r="EMY5" s="582"/>
      <c r="EMZ5" s="582"/>
      <c r="ENA5" s="582"/>
      <c r="ENB5" s="582"/>
      <c r="ENC5" s="582"/>
      <c r="END5" s="582"/>
      <c r="ENE5" s="582"/>
      <c r="ENF5" s="582"/>
      <c r="ENG5" s="582"/>
      <c r="ENH5" s="582"/>
      <c r="ENI5" s="582"/>
      <c r="ENJ5" s="582"/>
      <c r="ENK5" s="582"/>
      <c r="ENL5" s="582"/>
      <c r="ENM5" s="582"/>
      <c r="ENN5" s="582"/>
      <c r="ENO5" s="582"/>
      <c r="ENP5" s="582"/>
      <c r="ENQ5" s="582"/>
      <c r="ENR5" s="582"/>
      <c r="ENS5" s="582"/>
      <c r="ENT5" s="582"/>
      <c r="ENU5" s="582"/>
      <c r="ENV5" s="582"/>
      <c r="ENW5" s="582"/>
      <c r="ENX5" s="582"/>
      <c r="ENY5" s="582"/>
      <c r="ENZ5" s="582"/>
      <c r="EOA5" s="582"/>
      <c r="EOB5" s="582"/>
      <c r="EOC5" s="582"/>
      <c r="EOD5" s="582"/>
      <c r="EOE5" s="582"/>
      <c r="EOF5" s="582"/>
      <c r="EOG5" s="582"/>
      <c r="EOH5" s="582"/>
      <c r="EOI5" s="582"/>
      <c r="EOJ5" s="582"/>
      <c r="EOK5" s="582"/>
      <c r="EOL5" s="582"/>
      <c r="EOM5" s="582"/>
      <c r="EON5" s="582"/>
      <c r="EOO5" s="582"/>
      <c r="EOP5" s="582"/>
      <c r="EOQ5" s="582"/>
      <c r="EOR5" s="582"/>
      <c r="EOS5" s="582"/>
      <c r="EOT5" s="582"/>
      <c r="EOU5" s="582"/>
      <c r="EOV5" s="582"/>
      <c r="EOW5" s="582"/>
      <c r="EOX5" s="582"/>
      <c r="EOY5" s="582"/>
      <c r="EOZ5" s="582"/>
      <c r="EPA5" s="582"/>
      <c r="EPB5" s="582"/>
      <c r="EPC5" s="582"/>
      <c r="EPD5" s="582"/>
      <c r="EPE5" s="582"/>
      <c r="EPF5" s="582"/>
      <c r="EPG5" s="582"/>
      <c r="EPH5" s="582"/>
      <c r="EPI5" s="582"/>
      <c r="EPJ5" s="582"/>
      <c r="EPK5" s="582"/>
      <c r="EPL5" s="582"/>
      <c r="EPM5" s="582"/>
      <c r="EPN5" s="582"/>
      <c r="EPO5" s="582"/>
      <c r="EPP5" s="582"/>
      <c r="EPQ5" s="582"/>
      <c r="EPR5" s="582"/>
      <c r="EPS5" s="582"/>
      <c r="EPT5" s="582"/>
      <c r="EPU5" s="582"/>
      <c r="EPV5" s="582"/>
      <c r="EPW5" s="582"/>
      <c r="EPX5" s="582"/>
      <c r="EPY5" s="582"/>
      <c r="EPZ5" s="582"/>
      <c r="EQA5" s="582"/>
      <c r="EQB5" s="582"/>
      <c r="EQC5" s="582"/>
      <c r="EQD5" s="582"/>
      <c r="EQE5" s="582"/>
      <c r="EQF5" s="582"/>
      <c r="EQG5" s="582"/>
      <c r="EQH5" s="582"/>
      <c r="EQI5" s="582"/>
      <c r="EQJ5" s="582"/>
      <c r="EQK5" s="582"/>
      <c r="EQL5" s="582"/>
      <c r="EQM5" s="582"/>
      <c r="EQN5" s="582"/>
      <c r="EQO5" s="582"/>
      <c r="EQP5" s="582"/>
      <c r="EQQ5" s="582"/>
      <c r="EQR5" s="582"/>
      <c r="EQS5" s="582"/>
      <c r="EQT5" s="582"/>
      <c r="EQU5" s="582"/>
      <c r="EQV5" s="582"/>
      <c r="EQW5" s="582"/>
      <c r="EQX5" s="582"/>
      <c r="EQY5" s="582"/>
      <c r="EQZ5" s="582"/>
      <c r="ERA5" s="582"/>
      <c r="ERB5" s="582"/>
      <c r="ERC5" s="582"/>
      <c r="ERD5" s="582"/>
      <c r="ERE5" s="582"/>
      <c r="ERF5" s="582"/>
      <c r="ERG5" s="582"/>
      <c r="ERH5" s="582"/>
      <c r="ERI5" s="582"/>
      <c r="ERJ5" s="582"/>
      <c r="ERK5" s="582"/>
      <c r="ERL5" s="582"/>
      <c r="ERM5" s="582"/>
      <c r="ERN5" s="582"/>
      <c r="ERO5" s="582"/>
      <c r="ERP5" s="582"/>
      <c r="ERQ5" s="582"/>
      <c r="ERR5" s="582"/>
      <c r="ERS5" s="582"/>
      <c r="ERT5" s="582"/>
      <c r="ERU5" s="582"/>
      <c r="ERV5" s="582"/>
      <c r="ERW5" s="582"/>
      <c r="ERX5" s="582"/>
      <c r="ERY5" s="582"/>
      <c r="ERZ5" s="582"/>
      <c r="ESA5" s="582"/>
      <c r="ESB5" s="582"/>
      <c r="ESC5" s="582"/>
      <c r="ESD5" s="582"/>
      <c r="ESE5" s="582"/>
      <c r="ESF5" s="582"/>
      <c r="ESG5" s="582"/>
      <c r="ESH5" s="582"/>
      <c r="ESI5" s="582"/>
      <c r="ESJ5" s="582"/>
      <c r="ESK5" s="582"/>
      <c r="ESL5" s="582"/>
      <c r="ESM5" s="582"/>
      <c r="ESN5" s="582"/>
      <c r="ESO5" s="582"/>
      <c r="ESP5" s="582"/>
      <c r="ESQ5" s="582"/>
      <c r="ESR5" s="582"/>
      <c r="ESS5" s="582"/>
      <c r="EST5" s="582"/>
      <c r="ESU5" s="582"/>
      <c r="ESV5" s="582"/>
      <c r="ESW5" s="582"/>
      <c r="ESX5" s="582"/>
      <c r="ESY5" s="582"/>
      <c r="ESZ5" s="582"/>
      <c r="ETA5" s="582"/>
      <c r="ETB5" s="582"/>
      <c r="ETC5" s="582"/>
      <c r="ETD5" s="582"/>
      <c r="ETE5" s="582"/>
      <c r="ETF5" s="582"/>
      <c r="ETG5" s="582"/>
      <c r="ETH5" s="582"/>
      <c r="ETI5" s="582"/>
      <c r="ETJ5" s="582"/>
      <c r="ETK5" s="582"/>
      <c r="ETL5" s="582"/>
      <c r="ETM5" s="582"/>
      <c r="ETN5" s="582"/>
      <c r="ETO5" s="582"/>
      <c r="ETP5" s="582"/>
      <c r="ETQ5" s="582"/>
      <c r="ETR5" s="582"/>
      <c r="ETS5" s="582"/>
      <c r="ETT5" s="582"/>
      <c r="ETU5" s="582"/>
      <c r="ETV5" s="582"/>
      <c r="ETW5" s="582"/>
      <c r="ETX5" s="582"/>
      <c r="ETY5" s="582"/>
      <c r="ETZ5" s="582"/>
      <c r="EUA5" s="582"/>
      <c r="EUB5" s="582"/>
      <c r="EUC5" s="582"/>
      <c r="EUD5" s="582"/>
      <c r="EUE5" s="582"/>
      <c r="EUF5" s="582"/>
      <c r="EUG5" s="582"/>
      <c r="EUH5" s="582"/>
      <c r="EUI5" s="582"/>
      <c r="EUJ5" s="582"/>
      <c r="EUK5" s="582"/>
      <c r="EUL5" s="582"/>
      <c r="EUM5" s="582"/>
      <c r="EUN5" s="582"/>
      <c r="EUO5" s="582"/>
      <c r="EUP5" s="582"/>
      <c r="EUQ5" s="582"/>
      <c r="EUR5" s="582"/>
      <c r="EUS5" s="582"/>
      <c r="EUT5" s="582"/>
      <c r="EUU5" s="582"/>
      <c r="EUV5" s="582"/>
      <c r="EUW5" s="582"/>
      <c r="EUX5" s="582"/>
      <c r="EUY5" s="582"/>
      <c r="EUZ5" s="582"/>
      <c r="EVA5" s="582"/>
      <c r="EVB5" s="582"/>
      <c r="EVC5" s="582"/>
      <c r="EVD5" s="582"/>
      <c r="EVE5" s="582"/>
      <c r="EVF5" s="582"/>
      <c r="EVG5" s="582"/>
      <c r="EVH5" s="582"/>
      <c r="EVI5" s="582"/>
      <c r="EVJ5" s="582"/>
      <c r="EVK5" s="582"/>
      <c r="EVL5" s="582"/>
      <c r="EVM5" s="582"/>
      <c r="EVN5" s="582"/>
      <c r="EVO5" s="582"/>
      <c r="EVP5" s="582"/>
      <c r="EVQ5" s="582"/>
      <c r="EVR5" s="582"/>
      <c r="EVS5" s="582"/>
      <c r="EVT5" s="582"/>
      <c r="EVU5" s="582"/>
      <c r="EVV5" s="582"/>
      <c r="EVW5" s="582"/>
      <c r="EVX5" s="582"/>
      <c r="EVY5" s="582"/>
      <c r="EVZ5" s="582"/>
      <c r="EWA5" s="582"/>
      <c r="EWB5" s="582"/>
      <c r="EWC5" s="582"/>
      <c r="EWD5" s="582"/>
      <c r="EWE5" s="582"/>
      <c r="EWF5" s="582"/>
      <c r="EWG5" s="582"/>
      <c r="EWH5" s="582"/>
      <c r="EWI5" s="582"/>
      <c r="EWJ5" s="582"/>
      <c r="EWK5" s="582"/>
      <c r="EWL5" s="582"/>
      <c r="EWM5" s="582"/>
      <c r="EWN5" s="582"/>
      <c r="EWO5" s="582"/>
      <c r="EWP5" s="582"/>
      <c r="EWQ5" s="582"/>
      <c r="EWR5" s="582"/>
      <c r="EWS5" s="582"/>
      <c r="EWT5" s="582"/>
      <c r="EWU5" s="582"/>
      <c r="EWV5" s="582"/>
      <c r="EWW5" s="582"/>
      <c r="EWX5" s="582"/>
      <c r="EWY5" s="582"/>
      <c r="EWZ5" s="582"/>
      <c r="EXA5" s="582"/>
      <c r="EXB5" s="582"/>
      <c r="EXC5" s="582"/>
      <c r="EXD5" s="582"/>
      <c r="EXE5" s="582"/>
      <c r="EXF5" s="582"/>
      <c r="EXG5" s="582"/>
      <c r="EXH5" s="582"/>
      <c r="EXI5" s="582"/>
      <c r="EXJ5" s="582"/>
      <c r="EXK5" s="582"/>
      <c r="EXL5" s="582"/>
      <c r="EXM5" s="582"/>
      <c r="EXN5" s="582"/>
      <c r="EXO5" s="582"/>
      <c r="EXP5" s="582"/>
      <c r="EXQ5" s="582"/>
      <c r="EXR5" s="582"/>
      <c r="EXS5" s="582"/>
      <c r="EXT5" s="582"/>
      <c r="EXU5" s="582"/>
      <c r="EXV5" s="582"/>
      <c r="EXW5" s="582"/>
      <c r="EXX5" s="582"/>
      <c r="EXY5" s="582"/>
      <c r="EXZ5" s="582"/>
      <c r="EYA5" s="582"/>
      <c r="EYB5" s="582"/>
      <c r="EYC5" s="582"/>
      <c r="EYD5" s="582"/>
      <c r="EYE5" s="582"/>
      <c r="EYF5" s="582"/>
      <c r="EYG5" s="582"/>
      <c r="EYH5" s="582"/>
      <c r="EYI5" s="582"/>
      <c r="EYJ5" s="582"/>
      <c r="EYK5" s="582"/>
      <c r="EYL5" s="582"/>
      <c r="EYM5" s="582"/>
      <c r="EYN5" s="582"/>
      <c r="EYO5" s="582"/>
      <c r="EYP5" s="582"/>
      <c r="EYQ5" s="582"/>
      <c r="EYR5" s="582"/>
      <c r="EYS5" s="582"/>
      <c r="EYT5" s="582"/>
      <c r="EYU5" s="582"/>
      <c r="EYV5" s="582"/>
      <c r="EYW5" s="582"/>
      <c r="EYX5" s="582"/>
      <c r="EYY5" s="582"/>
      <c r="EYZ5" s="582"/>
      <c r="EZA5" s="582"/>
      <c r="EZB5" s="582"/>
      <c r="EZC5" s="582"/>
      <c r="EZD5" s="582"/>
      <c r="EZE5" s="582"/>
      <c r="EZF5" s="582"/>
      <c r="EZG5" s="582"/>
      <c r="EZH5" s="582"/>
      <c r="EZI5" s="582"/>
      <c r="EZJ5" s="582"/>
      <c r="EZK5" s="582"/>
      <c r="EZL5" s="582"/>
      <c r="EZM5" s="582"/>
      <c r="EZN5" s="582"/>
      <c r="EZO5" s="582"/>
      <c r="EZP5" s="582"/>
      <c r="EZQ5" s="582"/>
      <c r="EZR5" s="582"/>
      <c r="EZS5" s="582"/>
      <c r="EZT5" s="582"/>
      <c r="EZU5" s="582"/>
      <c r="EZV5" s="582"/>
      <c r="EZW5" s="582"/>
      <c r="EZX5" s="582"/>
      <c r="EZY5" s="582"/>
      <c r="EZZ5" s="582"/>
      <c r="FAA5" s="582"/>
      <c r="FAB5" s="582"/>
      <c r="FAC5" s="582"/>
      <c r="FAD5" s="582"/>
      <c r="FAE5" s="582"/>
      <c r="FAF5" s="582"/>
      <c r="FAG5" s="582"/>
      <c r="FAH5" s="582"/>
      <c r="FAI5" s="582"/>
      <c r="FAJ5" s="582"/>
      <c r="FAK5" s="582"/>
      <c r="FAL5" s="582"/>
      <c r="FAM5" s="582"/>
      <c r="FAN5" s="582"/>
      <c r="FAO5" s="582"/>
      <c r="FAP5" s="582"/>
      <c r="FAQ5" s="582"/>
      <c r="FAR5" s="582"/>
      <c r="FAS5" s="582"/>
      <c r="FAT5" s="582"/>
      <c r="FAU5" s="582"/>
      <c r="FAV5" s="582"/>
      <c r="FAW5" s="582"/>
      <c r="FAX5" s="582"/>
      <c r="FAY5" s="582"/>
      <c r="FAZ5" s="582"/>
      <c r="FBA5" s="582"/>
      <c r="FBB5" s="582"/>
      <c r="FBC5" s="582"/>
      <c r="FBD5" s="582"/>
      <c r="FBE5" s="582"/>
      <c r="FBF5" s="582"/>
      <c r="FBG5" s="582"/>
      <c r="FBH5" s="582"/>
      <c r="FBI5" s="582"/>
      <c r="FBJ5" s="582"/>
      <c r="FBK5" s="582"/>
      <c r="FBL5" s="582"/>
      <c r="FBM5" s="582"/>
      <c r="FBN5" s="582"/>
      <c r="FBO5" s="582"/>
      <c r="FBP5" s="582"/>
      <c r="FBQ5" s="582"/>
      <c r="FBR5" s="582"/>
      <c r="FBS5" s="582"/>
      <c r="FBT5" s="582"/>
      <c r="FBU5" s="582"/>
      <c r="FBV5" s="582"/>
      <c r="FBW5" s="582"/>
      <c r="FBX5" s="582"/>
      <c r="FBY5" s="582"/>
      <c r="FBZ5" s="582"/>
      <c r="FCA5" s="582"/>
      <c r="FCB5" s="582"/>
      <c r="FCC5" s="582"/>
      <c r="FCD5" s="582"/>
      <c r="FCE5" s="582"/>
      <c r="FCF5" s="582"/>
      <c r="FCG5" s="582"/>
      <c r="FCH5" s="582"/>
      <c r="FCI5" s="582"/>
      <c r="FCJ5" s="582"/>
      <c r="FCK5" s="582"/>
      <c r="FCL5" s="582"/>
      <c r="FCM5" s="582"/>
      <c r="FCN5" s="582"/>
      <c r="FCO5" s="582"/>
      <c r="FCP5" s="582"/>
      <c r="FCQ5" s="582"/>
      <c r="FCR5" s="582"/>
      <c r="FCS5" s="582"/>
      <c r="FCT5" s="582"/>
      <c r="FCU5" s="582"/>
      <c r="FCV5" s="582"/>
      <c r="FCW5" s="582"/>
      <c r="FCX5" s="582"/>
      <c r="FCY5" s="582"/>
      <c r="FCZ5" s="582"/>
      <c r="FDA5" s="582"/>
      <c r="FDB5" s="582"/>
      <c r="FDC5" s="582"/>
      <c r="FDD5" s="582"/>
      <c r="FDE5" s="582"/>
      <c r="FDF5" s="582"/>
      <c r="FDG5" s="582"/>
      <c r="FDH5" s="582"/>
      <c r="FDI5" s="582"/>
      <c r="FDJ5" s="582"/>
      <c r="FDK5" s="582"/>
      <c r="FDL5" s="582"/>
      <c r="FDM5" s="582"/>
      <c r="FDN5" s="582"/>
      <c r="FDO5" s="582"/>
      <c r="FDP5" s="582"/>
      <c r="FDQ5" s="582"/>
      <c r="FDR5" s="582"/>
      <c r="FDS5" s="582"/>
      <c r="FDT5" s="582"/>
      <c r="FDU5" s="582"/>
      <c r="FDV5" s="582"/>
      <c r="FDW5" s="582"/>
      <c r="FDX5" s="582"/>
      <c r="FDY5" s="582"/>
      <c r="FDZ5" s="582"/>
      <c r="FEA5" s="582"/>
      <c r="FEB5" s="582"/>
      <c r="FEC5" s="582"/>
      <c r="FED5" s="582"/>
      <c r="FEE5" s="582"/>
      <c r="FEF5" s="582"/>
      <c r="FEG5" s="582"/>
      <c r="FEH5" s="582"/>
      <c r="FEI5" s="582"/>
      <c r="FEJ5" s="582"/>
      <c r="FEK5" s="582"/>
      <c r="FEL5" s="582"/>
      <c r="FEM5" s="582"/>
      <c r="FEN5" s="582"/>
      <c r="FEO5" s="582"/>
      <c r="FEP5" s="582"/>
      <c r="FEQ5" s="582"/>
      <c r="FER5" s="582"/>
      <c r="FES5" s="582"/>
      <c r="FET5" s="582"/>
      <c r="FEU5" s="582"/>
      <c r="FEV5" s="582"/>
      <c r="FEW5" s="582"/>
      <c r="FEX5" s="582"/>
      <c r="FEY5" s="582"/>
      <c r="FEZ5" s="582"/>
      <c r="FFA5" s="582"/>
      <c r="FFB5" s="582"/>
      <c r="FFC5" s="582"/>
      <c r="FFD5" s="582"/>
      <c r="FFE5" s="582"/>
      <c r="FFF5" s="582"/>
      <c r="FFG5" s="582"/>
      <c r="FFH5" s="582"/>
      <c r="FFI5" s="582"/>
      <c r="FFJ5" s="582"/>
      <c r="FFK5" s="582"/>
      <c r="FFL5" s="582"/>
      <c r="FFM5" s="582"/>
      <c r="FFN5" s="582"/>
      <c r="FFO5" s="582"/>
      <c r="FFP5" s="582"/>
      <c r="FFQ5" s="582"/>
      <c r="FFR5" s="582"/>
      <c r="FFS5" s="582"/>
      <c r="FFT5" s="582"/>
      <c r="FFU5" s="582"/>
      <c r="FFV5" s="582"/>
      <c r="FFW5" s="582"/>
      <c r="FFX5" s="582"/>
      <c r="FFY5" s="582"/>
      <c r="FFZ5" s="582"/>
      <c r="FGA5" s="582"/>
      <c r="FGB5" s="582"/>
      <c r="FGC5" s="582"/>
      <c r="FGD5" s="582"/>
      <c r="FGE5" s="582"/>
      <c r="FGF5" s="582"/>
      <c r="FGG5" s="582"/>
      <c r="FGH5" s="582"/>
      <c r="FGI5" s="582"/>
      <c r="FGJ5" s="582"/>
      <c r="FGK5" s="582"/>
      <c r="FGL5" s="582"/>
      <c r="FGM5" s="582"/>
      <c r="FGN5" s="582"/>
      <c r="FGO5" s="582"/>
      <c r="FGP5" s="582"/>
      <c r="FGQ5" s="582"/>
      <c r="FGR5" s="582"/>
      <c r="FGS5" s="582"/>
      <c r="FGT5" s="582"/>
      <c r="FGU5" s="582"/>
      <c r="FGV5" s="582"/>
      <c r="FGW5" s="582"/>
      <c r="FGX5" s="582"/>
      <c r="FGY5" s="582"/>
      <c r="FGZ5" s="582"/>
      <c r="FHA5" s="582"/>
      <c r="FHB5" s="582"/>
      <c r="FHC5" s="582"/>
      <c r="FHD5" s="582"/>
      <c r="FHE5" s="582"/>
      <c r="FHF5" s="582"/>
      <c r="FHG5" s="582"/>
      <c r="FHH5" s="582"/>
      <c r="FHI5" s="582"/>
      <c r="FHJ5" s="582"/>
      <c r="FHK5" s="582"/>
      <c r="FHL5" s="582"/>
      <c r="FHM5" s="582"/>
      <c r="FHN5" s="582"/>
      <c r="FHO5" s="582"/>
      <c r="FHP5" s="582"/>
      <c r="FHQ5" s="582"/>
      <c r="FHR5" s="582"/>
      <c r="FHS5" s="582"/>
      <c r="FHT5" s="582"/>
      <c r="FHU5" s="582"/>
      <c r="FHV5" s="582"/>
      <c r="FHW5" s="582"/>
      <c r="FHX5" s="582"/>
      <c r="FHY5" s="582"/>
      <c r="FHZ5" s="582"/>
      <c r="FIA5" s="582"/>
      <c r="FIB5" s="582"/>
      <c r="FIC5" s="582"/>
      <c r="FID5" s="582"/>
      <c r="FIE5" s="582"/>
      <c r="FIF5" s="582"/>
      <c r="FIG5" s="582"/>
      <c r="FIH5" s="582"/>
      <c r="FII5" s="582"/>
      <c r="FIJ5" s="582"/>
      <c r="FIK5" s="582"/>
      <c r="FIL5" s="582"/>
      <c r="FIM5" s="582"/>
      <c r="FIN5" s="582"/>
      <c r="FIO5" s="582"/>
      <c r="FIP5" s="582"/>
      <c r="FIQ5" s="582"/>
      <c r="FIR5" s="582"/>
      <c r="FIS5" s="582"/>
      <c r="FIT5" s="582"/>
      <c r="FIU5" s="582"/>
      <c r="FIV5" s="582"/>
      <c r="FIW5" s="582"/>
      <c r="FIX5" s="582"/>
      <c r="FIY5" s="582"/>
      <c r="FIZ5" s="582"/>
      <c r="FJA5" s="582"/>
      <c r="FJB5" s="582"/>
      <c r="FJC5" s="582"/>
      <c r="FJD5" s="582"/>
      <c r="FJE5" s="582"/>
      <c r="FJF5" s="582"/>
      <c r="FJG5" s="582"/>
      <c r="FJH5" s="582"/>
      <c r="FJI5" s="582"/>
      <c r="FJJ5" s="582"/>
      <c r="FJK5" s="582"/>
      <c r="FJL5" s="582"/>
      <c r="FJM5" s="582"/>
      <c r="FJN5" s="582"/>
      <c r="FJO5" s="582"/>
      <c r="FJP5" s="582"/>
      <c r="FJQ5" s="582"/>
      <c r="FJR5" s="582"/>
      <c r="FJS5" s="582"/>
      <c r="FJT5" s="582"/>
      <c r="FJU5" s="582"/>
      <c r="FJV5" s="582"/>
      <c r="FJW5" s="582"/>
      <c r="FJX5" s="582"/>
      <c r="FJY5" s="582"/>
      <c r="FJZ5" s="582"/>
      <c r="FKA5" s="582"/>
      <c r="FKB5" s="582"/>
      <c r="FKC5" s="582"/>
      <c r="FKD5" s="582"/>
      <c r="FKE5" s="582"/>
      <c r="FKF5" s="582"/>
      <c r="FKG5" s="582"/>
      <c r="FKH5" s="582"/>
      <c r="FKI5" s="582"/>
      <c r="FKJ5" s="582"/>
      <c r="FKK5" s="582"/>
      <c r="FKL5" s="582"/>
      <c r="FKM5" s="582"/>
      <c r="FKN5" s="582"/>
      <c r="FKO5" s="582"/>
      <c r="FKP5" s="582"/>
      <c r="FKQ5" s="582"/>
      <c r="FKR5" s="582"/>
      <c r="FKS5" s="582"/>
      <c r="FKT5" s="582"/>
      <c r="FKU5" s="582"/>
      <c r="FKV5" s="582"/>
      <c r="FKW5" s="582"/>
      <c r="FKX5" s="582"/>
      <c r="FKY5" s="582"/>
      <c r="FKZ5" s="582"/>
      <c r="FLA5" s="582"/>
      <c r="FLB5" s="582"/>
      <c r="FLC5" s="582"/>
      <c r="FLD5" s="582"/>
      <c r="FLE5" s="582"/>
      <c r="FLF5" s="582"/>
      <c r="FLG5" s="582"/>
      <c r="FLH5" s="582"/>
      <c r="FLI5" s="582"/>
      <c r="FLJ5" s="582"/>
      <c r="FLK5" s="582"/>
      <c r="FLL5" s="582"/>
      <c r="FLM5" s="582"/>
      <c r="FLN5" s="582"/>
      <c r="FLO5" s="582"/>
      <c r="FLP5" s="582"/>
      <c r="FLQ5" s="582"/>
      <c r="FLR5" s="582"/>
      <c r="FLS5" s="582"/>
      <c r="FLT5" s="582"/>
      <c r="FLU5" s="582"/>
      <c r="FLV5" s="582"/>
      <c r="FLW5" s="582"/>
      <c r="FLX5" s="582"/>
      <c r="FLY5" s="582"/>
      <c r="FLZ5" s="582"/>
      <c r="FMA5" s="582"/>
      <c r="FMB5" s="582"/>
      <c r="FMC5" s="582"/>
      <c r="FMD5" s="582"/>
      <c r="FME5" s="582"/>
      <c r="FMF5" s="582"/>
      <c r="FMG5" s="582"/>
      <c r="FMH5" s="582"/>
      <c r="FMI5" s="582"/>
      <c r="FMJ5" s="582"/>
      <c r="FMK5" s="582"/>
      <c r="FML5" s="582"/>
      <c r="FMM5" s="582"/>
      <c r="FMN5" s="582"/>
      <c r="FMO5" s="582"/>
      <c r="FMP5" s="582"/>
      <c r="FMQ5" s="582"/>
      <c r="FMR5" s="582"/>
      <c r="FMS5" s="582"/>
      <c r="FMT5" s="582"/>
      <c r="FMU5" s="582"/>
      <c r="FMV5" s="582"/>
      <c r="FMW5" s="582"/>
      <c r="FMX5" s="582"/>
      <c r="FMY5" s="582"/>
      <c r="FMZ5" s="582"/>
      <c r="FNA5" s="582"/>
      <c r="FNB5" s="582"/>
      <c r="FNC5" s="582"/>
      <c r="FND5" s="582"/>
      <c r="FNE5" s="582"/>
      <c r="FNF5" s="582"/>
      <c r="FNG5" s="582"/>
      <c r="FNH5" s="582"/>
      <c r="FNI5" s="582"/>
      <c r="FNJ5" s="582"/>
      <c r="FNK5" s="582"/>
      <c r="FNL5" s="582"/>
      <c r="FNM5" s="582"/>
      <c r="FNN5" s="582"/>
      <c r="FNO5" s="582"/>
      <c r="FNP5" s="582"/>
      <c r="FNQ5" s="582"/>
      <c r="FNR5" s="582"/>
      <c r="FNS5" s="582"/>
      <c r="FNT5" s="582"/>
      <c r="FNU5" s="582"/>
      <c r="FNV5" s="582"/>
      <c r="FNW5" s="582"/>
      <c r="FNX5" s="582"/>
      <c r="FNY5" s="582"/>
      <c r="FNZ5" s="582"/>
      <c r="FOA5" s="582"/>
      <c r="FOB5" s="582"/>
      <c r="FOC5" s="582"/>
      <c r="FOD5" s="582"/>
      <c r="FOE5" s="582"/>
      <c r="FOF5" s="582"/>
      <c r="FOG5" s="582"/>
      <c r="FOH5" s="582"/>
      <c r="FOI5" s="582"/>
      <c r="FOJ5" s="582"/>
      <c r="FOK5" s="582"/>
      <c r="FOL5" s="582"/>
      <c r="FOM5" s="582"/>
      <c r="FON5" s="582"/>
      <c r="FOO5" s="582"/>
      <c r="FOP5" s="582"/>
      <c r="FOQ5" s="582"/>
      <c r="FOR5" s="582"/>
      <c r="FOS5" s="582"/>
      <c r="FOT5" s="582"/>
      <c r="FOU5" s="582"/>
      <c r="FOV5" s="582"/>
      <c r="FOW5" s="582"/>
      <c r="FOX5" s="582"/>
      <c r="FOY5" s="582"/>
      <c r="FOZ5" s="582"/>
      <c r="FPA5" s="582"/>
      <c r="FPB5" s="582"/>
      <c r="FPC5" s="582"/>
      <c r="FPD5" s="582"/>
      <c r="FPE5" s="582"/>
      <c r="FPF5" s="582"/>
      <c r="FPG5" s="582"/>
      <c r="FPH5" s="582"/>
      <c r="FPI5" s="582"/>
      <c r="FPJ5" s="582"/>
      <c r="FPK5" s="582"/>
      <c r="FPL5" s="582"/>
      <c r="FPM5" s="582"/>
      <c r="FPN5" s="582"/>
      <c r="FPO5" s="582"/>
      <c r="FPP5" s="582"/>
      <c r="FPQ5" s="582"/>
      <c r="FPR5" s="582"/>
      <c r="FPS5" s="582"/>
      <c r="FPT5" s="582"/>
      <c r="FPU5" s="582"/>
      <c r="FPV5" s="582"/>
      <c r="FPW5" s="582"/>
      <c r="FPX5" s="582"/>
      <c r="FPY5" s="582"/>
      <c r="FPZ5" s="582"/>
      <c r="FQA5" s="582"/>
      <c r="FQB5" s="582"/>
      <c r="FQC5" s="582"/>
      <c r="FQD5" s="582"/>
      <c r="FQE5" s="582"/>
      <c r="FQF5" s="582"/>
      <c r="FQG5" s="582"/>
      <c r="FQH5" s="582"/>
      <c r="FQI5" s="582"/>
      <c r="FQJ5" s="582"/>
      <c r="FQK5" s="582"/>
      <c r="FQL5" s="582"/>
      <c r="FQM5" s="582"/>
      <c r="FQN5" s="582"/>
      <c r="FQO5" s="582"/>
      <c r="FQP5" s="582"/>
      <c r="FQQ5" s="582"/>
      <c r="FQR5" s="582"/>
      <c r="FQS5" s="582"/>
      <c r="FQT5" s="582"/>
      <c r="FQU5" s="582"/>
      <c r="FQV5" s="582"/>
      <c r="FQW5" s="582"/>
      <c r="FQX5" s="582"/>
      <c r="FQY5" s="582"/>
      <c r="FQZ5" s="582"/>
      <c r="FRA5" s="582"/>
      <c r="FRB5" s="582"/>
      <c r="FRC5" s="582"/>
      <c r="FRD5" s="582"/>
      <c r="FRE5" s="582"/>
      <c r="FRF5" s="582"/>
      <c r="FRG5" s="582"/>
      <c r="FRH5" s="582"/>
      <c r="FRI5" s="582"/>
      <c r="FRJ5" s="582"/>
      <c r="FRK5" s="582"/>
      <c r="FRL5" s="582"/>
      <c r="FRM5" s="582"/>
      <c r="FRN5" s="582"/>
      <c r="FRO5" s="582"/>
      <c r="FRP5" s="582"/>
      <c r="FRQ5" s="582"/>
      <c r="FRR5" s="582"/>
      <c r="FRS5" s="582"/>
      <c r="FRT5" s="582"/>
      <c r="FRU5" s="582"/>
      <c r="FRV5" s="582"/>
      <c r="FRW5" s="582"/>
      <c r="FRX5" s="582"/>
      <c r="FRY5" s="582"/>
      <c r="FRZ5" s="582"/>
      <c r="FSA5" s="582"/>
      <c r="FSB5" s="582"/>
      <c r="FSC5" s="582"/>
      <c r="FSD5" s="582"/>
      <c r="FSE5" s="582"/>
      <c r="FSF5" s="582"/>
      <c r="FSG5" s="582"/>
      <c r="FSH5" s="582"/>
      <c r="FSI5" s="582"/>
      <c r="FSJ5" s="582"/>
      <c r="FSK5" s="582"/>
      <c r="FSL5" s="582"/>
      <c r="FSM5" s="582"/>
      <c r="FSN5" s="582"/>
      <c r="FSO5" s="582"/>
      <c r="FSP5" s="582"/>
      <c r="FSQ5" s="582"/>
      <c r="FSR5" s="582"/>
      <c r="FSS5" s="582"/>
      <c r="FST5" s="582"/>
      <c r="FSU5" s="582"/>
      <c r="FSV5" s="582"/>
      <c r="FSW5" s="582"/>
      <c r="FSX5" s="582"/>
      <c r="FSY5" s="582"/>
      <c r="FSZ5" s="582"/>
      <c r="FTA5" s="582"/>
      <c r="FTB5" s="582"/>
      <c r="FTC5" s="582"/>
      <c r="FTD5" s="582"/>
      <c r="FTE5" s="582"/>
      <c r="FTF5" s="582"/>
      <c r="FTG5" s="582"/>
      <c r="FTH5" s="582"/>
      <c r="FTI5" s="582"/>
      <c r="FTJ5" s="582"/>
      <c r="FTK5" s="582"/>
      <c r="FTL5" s="582"/>
      <c r="FTM5" s="582"/>
      <c r="FTN5" s="582"/>
      <c r="FTO5" s="582"/>
      <c r="FTP5" s="582"/>
      <c r="FTQ5" s="582"/>
      <c r="FTR5" s="582"/>
      <c r="FTS5" s="582"/>
      <c r="FTT5" s="582"/>
      <c r="FTU5" s="582"/>
      <c r="FTV5" s="582"/>
      <c r="FTW5" s="582"/>
      <c r="FTX5" s="582"/>
      <c r="FTY5" s="582"/>
      <c r="FTZ5" s="582"/>
      <c r="FUA5" s="582"/>
      <c r="FUB5" s="582"/>
      <c r="FUC5" s="582"/>
      <c r="FUD5" s="582"/>
      <c r="FUE5" s="582"/>
      <c r="FUF5" s="582"/>
      <c r="FUG5" s="582"/>
      <c r="FUH5" s="582"/>
      <c r="FUI5" s="582"/>
      <c r="FUJ5" s="582"/>
      <c r="FUK5" s="582"/>
      <c r="FUL5" s="582"/>
      <c r="FUM5" s="582"/>
      <c r="FUN5" s="582"/>
      <c r="FUO5" s="582"/>
      <c r="FUP5" s="582"/>
      <c r="FUQ5" s="582"/>
      <c r="FUR5" s="582"/>
      <c r="FUS5" s="582"/>
      <c r="FUT5" s="582"/>
      <c r="FUU5" s="582"/>
      <c r="FUV5" s="582"/>
      <c r="FUW5" s="582"/>
      <c r="FUX5" s="582"/>
      <c r="FUY5" s="582"/>
      <c r="FUZ5" s="582"/>
      <c r="FVA5" s="582"/>
      <c r="FVB5" s="582"/>
      <c r="FVC5" s="582"/>
      <c r="FVD5" s="582"/>
      <c r="FVE5" s="582"/>
      <c r="FVF5" s="582"/>
      <c r="FVG5" s="582"/>
      <c r="FVH5" s="582"/>
      <c r="FVI5" s="582"/>
      <c r="FVJ5" s="582"/>
      <c r="FVK5" s="582"/>
      <c r="FVL5" s="582"/>
      <c r="FVM5" s="582"/>
      <c r="FVN5" s="582"/>
      <c r="FVO5" s="582"/>
      <c r="FVP5" s="582"/>
      <c r="FVQ5" s="582"/>
      <c r="FVR5" s="582"/>
      <c r="FVS5" s="582"/>
      <c r="FVT5" s="582"/>
      <c r="FVU5" s="582"/>
      <c r="FVV5" s="582"/>
      <c r="FVW5" s="582"/>
      <c r="FVX5" s="582"/>
      <c r="FVY5" s="582"/>
      <c r="FVZ5" s="582"/>
      <c r="FWA5" s="582"/>
      <c r="FWB5" s="582"/>
      <c r="FWC5" s="582"/>
      <c r="FWD5" s="582"/>
      <c r="FWE5" s="582"/>
      <c r="FWF5" s="582"/>
      <c r="FWG5" s="582"/>
      <c r="FWH5" s="582"/>
      <c r="FWI5" s="582"/>
      <c r="FWJ5" s="582"/>
      <c r="FWK5" s="582"/>
      <c r="FWL5" s="582"/>
      <c r="FWM5" s="582"/>
      <c r="FWN5" s="582"/>
      <c r="FWO5" s="582"/>
      <c r="FWP5" s="582"/>
      <c r="FWQ5" s="582"/>
      <c r="FWR5" s="582"/>
      <c r="FWS5" s="582"/>
      <c r="FWT5" s="582"/>
      <c r="FWU5" s="582"/>
      <c r="FWV5" s="582"/>
      <c r="FWW5" s="582"/>
      <c r="FWX5" s="582"/>
      <c r="FWY5" s="582"/>
      <c r="FWZ5" s="582"/>
      <c r="FXA5" s="582"/>
      <c r="FXB5" s="582"/>
      <c r="FXC5" s="582"/>
      <c r="FXD5" s="582"/>
      <c r="FXE5" s="582"/>
      <c r="FXF5" s="582"/>
      <c r="FXG5" s="582"/>
      <c r="FXH5" s="582"/>
      <c r="FXI5" s="582"/>
      <c r="FXJ5" s="582"/>
      <c r="FXK5" s="582"/>
      <c r="FXL5" s="582"/>
      <c r="FXM5" s="582"/>
      <c r="FXN5" s="582"/>
      <c r="FXO5" s="582"/>
      <c r="FXP5" s="582"/>
      <c r="FXQ5" s="582"/>
      <c r="FXR5" s="582"/>
      <c r="FXS5" s="582"/>
      <c r="FXT5" s="582"/>
      <c r="FXU5" s="582"/>
      <c r="FXV5" s="582"/>
      <c r="FXW5" s="582"/>
      <c r="FXX5" s="582"/>
      <c r="FXY5" s="582"/>
      <c r="FXZ5" s="582"/>
      <c r="FYA5" s="582"/>
      <c r="FYB5" s="582"/>
      <c r="FYC5" s="582"/>
      <c r="FYD5" s="582"/>
      <c r="FYE5" s="582"/>
      <c r="FYF5" s="582"/>
      <c r="FYG5" s="582"/>
      <c r="FYH5" s="582"/>
      <c r="FYI5" s="582"/>
      <c r="FYJ5" s="582"/>
      <c r="FYK5" s="582"/>
      <c r="FYL5" s="582"/>
      <c r="FYM5" s="582"/>
      <c r="FYN5" s="582"/>
      <c r="FYO5" s="582"/>
      <c r="FYP5" s="582"/>
      <c r="FYQ5" s="582"/>
      <c r="FYR5" s="582"/>
      <c r="FYS5" s="582"/>
      <c r="FYT5" s="582"/>
      <c r="FYU5" s="582"/>
      <c r="FYV5" s="582"/>
      <c r="FYW5" s="582"/>
      <c r="FYX5" s="582"/>
      <c r="FYY5" s="582"/>
      <c r="FYZ5" s="582"/>
      <c r="FZA5" s="582"/>
      <c r="FZB5" s="582"/>
      <c r="FZC5" s="582"/>
      <c r="FZD5" s="582"/>
      <c r="FZE5" s="582"/>
      <c r="FZF5" s="582"/>
      <c r="FZG5" s="582"/>
      <c r="FZH5" s="582"/>
      <c r="FZI5" s="582"/>
      <c r="FZJ5" s="582"/>
      <c r="FZK5" s="582"/>
      <c r="FZL5" s="582"/>
      <c r="FZM5" s="582"/>
      <c r="FZN5" s="582"/>
      <c r="FZO5" s="582"/>
      <c r="FZP5" s="582"/>
      <c r="FZQ5" s="582"/>
      <c r="FZR5" s="582"/>
      <c r="FZS5" s="582"/>
      <c r="FZT5" s="582"/>
      <c r="FZU5" s="582"/>
      <c r="FZV5" s="582"/>
      <c r="FZW5" s="582"/>
      <c r="FZX5" s="582"/>
      <c r="FZY5" s="582"/>
      <c r="FZZ5" s="582"/>
      <c r="GAA5" s="582"/>
      <c r="GAB5" s="582"/>
      <c r="GAC5" s="582"/>
      <c r="GAD5" s="582"/>
      <c r="GAE5" s="582"/>
      <c r="GAF5" s="582"/>
      <c r="GAG5" s="582"/>
      <c r="GAH5" s="582"/>
      <c r="GAI5" s="582"/>
      <c r="GAJ5" s="582"/>
      <c r="GAK5" s="582"/>
      <c r="GAL5" s="582"/>
      <c r="GAM5" s="582"/>
      <c r="GAN5" s="582"/>
      <c r="GAO5" s="582"/>
      <c r="GAP5" s="582"/>
      <c r="GAQ5" s="582"/>
      <c r="GAR5" s="582"/>
      <c r="GAS5" s="582"/>
      <c r="GAT5" s="582"/>
      <c r="GAU5" s="582"/>
      <c r="GAV5" s="582"/>
      <c r="GAW5" s="582"/>
      <c r="GAX5" s="582"/>
      <c r="GAY5" s="582"/>
      <c r="GAZ5" s="582"/>
      <c r="GBA5" s="582"/>
      <c r="GBB5" s="582"/>
      <c r="GBC5" s="582"/>
      <c r="GBD5" s="582"/>
      <c r="GBE5" s="582"/>
      <c r="GBF5" s="582"/>
      <c r="GBG5" s="582"/>
      <c r="GBH5" s="582"/>
      <c r="GBI5" s="582"/>
      <c r="GBJ5" s="582"/>
      <c r="GBK5" s="582"/>
      <c r="GBL5" s="582"/>
      <c r="GBM5" s="582"/>
      <c r="GBN5" s="582"/>
      <c r="GBO5" s="582"/>
      <c r="GBP5" s="582"/>
      <c r="GBQ5" s="582"/>
      <c r="GBR5" s="582"/>
      <c r="GBS5" s="582"/>
      <c r="GBT5" s="582"/>
      <c r="GBU5" s="582"/>
      <c r="GBV5" s="582"/>
      <c r="GBW5" s="582"/>
      <c r="GBX5" s="582"/>
      <c r="GBY5" s="582"/>
      <c r="GBZ5" s="582"/>
      <c r="GCA5" s="582"/>
      <c r="GCB5" s="582"/>
      <c r="GCC5" s="582"/>
      <c r="GCD5" s="582"/>
      <c r="GCE5" s="582"/>
      <c r="GCF5" s="582"/>
      <c r="GCG5" s="582"/>
      <c r="GCH5" s="582"/>
      <c r="GCI5" s="582"/>
      <c r="GCJ5" s="582"/>
      <c r="GCK5" s="582"/>
      <c r="GCL5" s="582"/>
      <c r="GCM5" s="582"/>
      <c r="GCN5" s="582"/>
      <c r="GCO5" s="582"/>
      <c r="GCP5" s="582"/>
      <c r="GCQ5" s="582"/>
      <c r="GCR5" s="582"/>
      <c r="GCS5" s="582"/>
      <c r="GCT5" s="582"/>
      <c r="GCU5" s="582"/>
      <c r="GCV5" s="582"/>
      <c r="GCW5" s="582"/>
      <c r="GCX5" s="582"/>
      <c r="GCY5" s="582"/>
      <c r="GCZ5" s="582"/>
      <c r="GDA5" s="582"/>
      <c r="GDB5" s="582"/>
      <c r="GDC5" s="582"/>
      <c r="GDD5" s="582"/>
      <c r="GDE5" s="582"/>
      <c r="GDF5" s="582"/>
      <c r="GDG5" s="582"/>
      <c r="GDH5" s="582"/>
      <c r="GDI5" s="582"/>
      <c r="GDJ5" s="582"/>
      <c r="GDK5" s="582"/>
      <c r="GDL5" s="582"/>
      <c r="GDM5" s="582"/>
      <c r="GDN5" s="582"/>
      <c r="GDO5" s="582"/>
      <c r="GDP5" s="582"/>
      <c r="GDQ5" s="582"/>
      <c r="GDR5" s="582"/>
      <c r="GDS5" s="582"/>
      <c r="GDT5" s="582"/>
      <c r="GDU5" s="582"/>
      <c r="GDV5" s="582"/>
      <c r="GDW5" s="582"/>
      <c r="GDX5" s="582"/>
      <c r="GDY5" s="582"/>
      <c r="GDZ5" s="582"/>
      <c r="GEA5" s="582"/>
      <c r="GEB5" s="582"/>
      <c r="GEC5" s="582"/>
      <c r="GED5" s="582"/>
      <c r="GEE5" s="582"/>
      <c r="GEF5" s="582"/>
      <c r="GEG5" s="582"/>
      <c r="GEH5" s="582"/>
      <c r="GEI5" s="582"/>
      <c r="GEJ5" s="582"/>
      <c r="GEK5" s="582"/>
      <c r="GEL5" s="582"/>
      <c r="GEM5" s="582"/>
      <c r="GEN5" s="582"/>
      <c r="GEO5" s="582"/>
      <c r="GEP5" s="582"/>
      <c r="GEQ5" s="582"/>
      <c r="GER5" s="582"/>
      <c r="GES5" s="582"/>
      <c r="GET5" s="582"/>
      <c r="GEU5" s="582"/>
      <c r="GEV5" s="582"/>
      <c r="GEW5" s="582"/>
      <c r="GEX5" s="582"/>
      <c r="GEY5" s="582"/>
      <c r="GEZ5" s="582"/>
      <c r="GFA5" s="582"/>
      <c r="GFB5" s="582"/>
      <c r="GFC5" s="582"/>
      <c r="GFD5" s="582"/>
      <c r="GFE5" s="582"/>
      <c r="GFF5" s="582"/>
      <c r="GFG5" s="582"/>
      <c r="GFH5" s="582"/>
      <c r="GFI5" s="582"/>
      <c r="GFJ5" s="582"/>
      <c r="GFK5" s="582"/>
      <c r="GFL5" s="582"/>
      <c r="GFM5" s="582"/>
      <c r="GFN5" s="582"/>
      <c r="GFO5" s="582"/>
      <c r="GFP5" s="582"/>
      <c r="GFQ5" s="582"/>
      <c r="GFR5" s="582"/>
      <c r="GFS5" s="582"/>
      <c r="GFT5" s="582"/>
      <c r="GFU5" s="582"/>
      <c r="GFV5" s="582"/>
      <c r="GFW5" s="582"/>
      <c r="GFX5" s="582"/>
      <c r="GFY5" s="582"/>
      <c r="GFZ5" s="582"/>
      <c r="GGA5" s="582"/>
      <c r="GGB5" s="582"/>
      <c r="GGC5" s="582"/>
      <c r="GGD5" s="582"/>
      <c r="GGE5" s="582"/>
      <c r="GGF5" s="582"/>
      <c r="GGG5" s="582"/>
      <c r="GGH5" s="582"/>
      <c r="GGI5" s="582"/>
      <c r="GGJ5" s="582"/>
      <c r="GGK5" s="582"/>
      <c r="GGL5" s="582"/>
      <c r="GGM5" s="582"/>
      <c r="GGN5" s="582"/>
      <c r="GGO5" s="582"/>
      <c r="GGP5" s="582"/>
      <c r="GGQ5" s="582"/>
      <c r="GGR5" s="582"/>
      <c r="GGS5" s="582"/>
      <c r="GGT5" s="582"/>
      <c r="GGU5" s="582"/>
      <c r="GGV5" s="582"/>
      <c r="GGW5" s="582"/>
      <c r="GGX5" s="582"/>
      <c r="GGY5" s="582"/>
      <c r="GGZ5" s="582"/>
      <c r="GHA5" s="582"/>
      <c r="GHB5" s="582"/>
      <c r="GHC5" s="582"/>
      <c r="GHD5" s="582"/>
      <c r="GHE5" s="582"/>
      <c r="GHF5" s="582"/>
      <c r="GHG5" s="582"/>
      <c r="GHH5" s="582"/>
      <c r="GHI5" s="582"/>
      <c r="GHJ5" s="582"/>
      <c r="GHK5" s="582"/>
      <c r="GHL5" s="582"/>
      <c r="GHM5" s="582"/>
      <c r="GHN5" s="582"/>
      <c r="GHO5" s="582"/>
      <c r="GHP5" s="582"/>
      <c r="GHQ5" s="582"/>
      <c r="GHR5" s="582"/>
      <c r="GHS5" s="582"/>
      <c r="GHT5" s="582"/>
      <c r="GHU5" s="582"/>
      <c r="GHV5" s="582"/>
      <c r="GHW5" s="582"/>
      <c r="GHX5" s="582"/>
      <c r="GHY5" s="582"/>
      <c r="GHZ5" s="582"/>
      <c r="GIA5" s="582"/>
      <c r="GIB5" s="582"/>
      <c r="GIC5" s="582"/>
      <c r="GID5" s="582"/>
      <c r="GIE5" s="582"/>
      <c r="GIF5" s="582"/>
      <c r="GIG5" s="582"/>
      <c r="GIH5" s="582"/>
      <c r="GII5" s="582"/>
      <c r="GIJ5" s="582"/>
      <c r="GIK5" s="582"/>
      <c r="GIL5" s="582"/>
      <c r="GIM5" s="582"/>
      <c r="GIN5" s="582"/>
      <c r="GIO5" s="582"/>
      <c r="GIP5" s="582"/>
      <c r="GIQ5" s="582"/>
      <c r="GIR5" s="582"/>
      <c r="GIS5" s="582"/>
      <c r="GIT5" s="582"/>
      <c r="GIU5" s="582"/>
      <c r="GIV5" s="582"/>
      <c r="GIW5" s="582"/>
      <c r="GIX5" s="582"/>
      <c r="GIY5" s="582"/>
      <c r="GIZ5" s="582"/>
      <c r="GJA5" s="582"/>
      <c r="GJB5" s="582"/>
      <c r="GJC5" s="582"/>
      <c r="GJD5" s="582"/>
      <c r="GJE5" s="582"/>
      <c r="GJF5" s="582"/>
      <c r="GJG5" s="582"/>
      <c r="GJH5" s="582"/>
      <c r="GJI5" s="582"/>
      <c r="GJJ5" s="582"/>
      <c r="GJK5" s="582"/>
      <c r="GJL5" s="582"/>
      <c r="GJM5" s="582"/>
      <c r="GJN5" s="582"/>
      <c r="GJO5" s="582"/>
      <c r="GJP5" s="582"/>
      <c r="GJQ5" s="582"/>
      <c r="GJR5" s="582"/>
      <c r="GJS5" s="582"/>
      <c r="GJT5" s="582"/>
      <c r="GJU5" s="582"/>
      <c r="GJV5" s="582"/>
      <c r="GJW5" s="582"/>
      <c r="GJX5" s="582"/>
      <c r="GJY5" s="582"/>
      <c r="GJZ5" s="582"/>
      <c r="GKA5" s="582"/>
      <c r="GKB5" s="582"/>
      <c r="GKC5" s="582"/>
      <c r="GKD5" s="582"/>
      <c r="GKE5" s="582"/>
      <c r="GKF5" s="582"/>
      <c r="GKG5" s="582"/>
      <c r="GKH5" s="582"/>
      <c r="GKI5" s="582"/>
      <c r="GKJ5" s="582"/>
      <c r="GKK5" s="582"/>
      <c r="GKL5" s="582"/>
      <c r="GKM5" s="582"/>
      <c r="GKN5" s="582"/>
      <c r="GKO5" s="582"/>
      <c r="GKP5" s="582"/>
      <c r="GKQ5" s="582"/>
      <c r="GKR5" s="582"/>
      <c r="GKS5" s="582"/>
      <c r="GKT5" s="582"/>
      <c r="GKU5" s="582"/>
      <c r="GKV5" s="582"/>
      <c r="GKW5" s="582"/>
      <c r="GKX5" s="582"/>
      <c r="GKY5" s="582"/>
      <c r="GKZ5" s="582"/>
      <c r="GLA5" s="582"/>
      <c r="GLB5" s="582"/>
      <c r="GLC5" s="582"/>
      <c r="GLD5" s="582"/>
      <c r="GLE5" s="582"/>
      <c r="GLF5" s="582"/>
      <c r="GLG5" s="582"/>
      <c r="GLH5" s="582"/>
      <c r="GLI5" s="582"/>
      <c r="GLJ5" s="582"/>
      <c r="GLK5" s="582"/>
      <c r="GLL5" s="582"/>
      <c r="GLM5" s="582"/>
      <c r="GLN5" s="582"/>
      <c r="GLO5" s="582"/>
      <c r="GLP5" s="582"/>
      <c r="GLQ5" s="582"/>
      <c r="GLR5" s="582"/>
      <c r="GLS5" s="582"/>
      <c r="GLT5" s="582"/>
      <c r="GLU5" s="582"/>
      <c r="GLV5" s="582"/>
      <c r="GLW5" s="582"/>
      <c r="GLX5" s="582"/>
      <c r="GLY5" s="582"/>
      <c r="GLZ5" s="582"/>
      <c r="GMA5" s="582"/>
      <c r="GMB5" s="582"/>
      <c r="GMC5" s="582"/>
      <c r="GMD5" s="582"/>
      <c r="GME5" s="582"/>
      <c r="GMF5" s="582"/>
      <c r="GMG5" s="582"/>
      <c r="GMH5" s="582"/>
      <c r="GMI5" s="582"/>
      <c r="GMJ5" s="582"/>
      <c r="GMK5" s="582"/>
      <c r="GML5" s="582"/>
      <c r="GMM5" s="582"/>
      <c r="GMN5" s="582"/>
      <c r="GMO5" s="582"/>
      <c r="GMP5" s="582"/>
      <c r="GMQ5" s="582"/>
      <c r="GMR5" s="582"/>
      <c r="GMS5" s="582"/>
      <c r="GMT5" s="582"/>
      <c r="GMU5" s="582"/>
      <c r="GMV5" s="582"/>
      <c r="GMW5" s="582"/>
      <c r="GMX5" s="582"/>
      <c r="GMY5" s="582"/>
      <c r="GMZ5" s="582"/>
      <c r="GNA5" s="582"/>
      <c r="GNB5" s="582"/>
      <c r="GNC5" s="582"/>
      <c r="GND5" s="582"/>
      <c r="GNE5" s="582"/>
      <c r="GNF5" s="582"/>
      <c r="GNG5" s="582"/>
      <c r="GNH5" s="582"/>
      <c r="GNI5" s="582"/>
      <c r="GNJ5" s="582"/>
      <c r="GNK5" s="582"/>
      <c r="GNL5" s="582"/>
      <c r="GNM5" s="582"/>
      <c r="GNN5" s="582"/>
      <c r="GNO5" s="582"/>
      <c r="GNP5" s="582"/>
      <c r="GNQ5" s="582"/>
      <c r="GNR5" s="582"/>
      <c r="GNS5" s="582"/>
      <c r="GNT5" s="582"/>
      <c r="GNU5" s="582"/>
      <c r="GNV5" s="582"/>
      <c r="GNW5" s="582"/>
      <c r="GNX5" s="582"/>
      <c r="GNY5" s="582"/>
      <c r="GNZ5" s="582"/>
      <c r="GOA5" s="582"/>
      <c r="GOB5" s="582"/>
      <c r="GOC5" s="582"/>
      <c r="GOD5" s="582"/>
      <c r="GOE5" s="582"/>
      <c r="GOF5" s="582"/>
      <c r="GOG5" s="582"/>
      <c r="GOH5" s="582"/>
      <c r="GOI5" s="582"/>
      <c r="GOJ5" s="582"/>
      <c r="GOK5" s="582"/>
      <c r="GOL5" s="582"/>
      <c r="GOM5" s="582"/>
      <c r="GON5" s="582"/>
      <c r="GOO5" s="582"/>
      <c r="GOP5" s="582"/>
      <c r="GOQ5" s="582"/>
      <c r="GOR5" s="582"/>
      <c r="GOS5" s="582"/>
      <c r="GOT5" s="582"/>
      <c r="GOU5" s="582"/>
      <c r="GOV5" s="582"/>
      <c r="GOW5" s="582"/>
      <c r="GOX5" s="582"/>
      <c r="GOY5" s="582"/>
      <c r="GOZ5" s="582"/>
      <c r="GPA5" s="582"/>
      <c r="GPB5" s="582"/>
      <c r="GPC5" s="582"/>
      <c r="GPD5" s="582"/>
      <c r="GPE5" s="582"/>
      <c r="GPF5" s="582"/>
      <c r="GPG5" s="582"/>
      <c r="GPH5" s="582"/>
      <c r="GPI5" s="582"/>
      <c r="GPJ5" s="582"/>
      <c r="GPK5" s="582"/>
      <c r="GPL5" s="582"/>
      <c r="GPM5" s="582"/>
      <c r="GPN5" s="582"/>
      <c r="GPO5" s="582"/>
      <c r="GPP5" s="582"/>
      <c r="GPQ5" s="582"/>
      <c r="GPR5" s="582"/>
      <c r="GPS5" s="582"/>
      <c r="GPT5" s="582"/>
      <c r="GPU5" s="582"/>
      <c r="GPV5" s="582"/>
      <c r="GPW5" s="582"/>
      <c r="GPX5" s="582"/>
      <c r="GPY5" s="582"/>
      <c r="GPZ5" s="582"/>
      <c r="GQA5" s="582"/>
      <c r="GQB5" s="582"/>
      <c r="GQC5" s="582"/>
      <c r="GQD5" s="582"/>
      <c r="GQE5" s="582"/>
      <c r="GQF5" s="582"/>
      <c r="GQG5" s="582"/>
      <c r="GQH5" s="582"/>
      <c r="GQI5" s="582"/>
      <c r="GQJ5" s="582"/>
      <c r="GQK5" s="582"/>
      <c r="GQL5" s="582"/>
      <c r="GQM5" s="582"/>
      <c r="GQN5" s="582"/>
      <c r="GQO5" s="582"/>
      <c r="GQP5" s="582"/>
      <c r="GQQ5" s="582"/>
      <c r="GQR5" s="582"/>
      <c r="GQS5" s="582"/>
      <c r="GQT5" s="582"/>
      <c r="GQU5" s="582"/>
      <c r="GQV5" s="582"/>
      <c r="GQW5" s="582"/>
      <c r="GQX5" s="582"/>
      <c r="GQY5" s="582"/>
      <c r="GQZ5" s="582"/>
      <c r="GRA5" s="582"/>
      <c r="GRB5" s="582"/>
      <c r="GRC5" s="582"/>
      <c r="GRD5" s="582"/>
      <c r="GRE5" s="582"/>
      <c r="GRF5" s="582"/>
      <c r="GRG5" s="582"/>
      <c r="GRH5" s="582"/>
      <c r="GRI5" s="582"/>
      <c r="GRJ5" s="582"/>
      <c r="GRK5" s="582"/>
      <c r="GRL5" s="582"/>
      <c r="GRM5" s="582"/>
      <c r="GRN5" s="582"/>
      <c r="GRO5" s="582"/>
      <c r="GRP5" s="582"/>
      <c r="GRQ5" s="582"/>
      <c r="GRR5" s="582"/>
      <c r="GRS5" s="582"/>
      <c r="GRT5" s="582"/>
      <c r="GRU5" s="582"/>
      <c r="GRV5" s="582"/>
      <c r="GRW5" s="582"/>
      <c r="GRX5" s="582"/>
      <c r="GRY5" s="582"/>
      <c r="GRZ5" s="582"/>
      <c r="GSA5" s="582"/>
      <c r="GSB5" s="582"/>
      <c r="GSC5" s="582"/>
      <c r="GSD5" s="582"/>
      <c r="GSE5" s="582"/>
      <c r="GSF5" s="582"/>
      <c r="GSG5" s="582"/>
      <c r="GSH5" s="582"/>
      <c r="GSI5" s="582"/>
      <c r="GSJ5" s="582"/>
      <c r="GSK5" s="582"/>
      <c r="GSL5" s="582"/>
      <c r="GSM5" s="582"/>
      <c r="GSN5" s="582"/>
      <c r="GSO5" s="582"/>
      <c r="GSP5" s="582"/>
      <c r="GSQ5" s="582"/>
      <c r="GSR5" s="582"/>
      <c r="GSS5" s="582"/>
      <c r="GST5" s="582"/>
      <c r="GSU5" s="582"/>
      <c r="GSV5" s="582"/>
      <c r="GSW5" s="582"/>
      <c r="GSX5" s="582"/>
      <c r="GSY5" s="582"/>
      <c r="GSZ5" s="582"/>
      <c r="GTA5" s="582"/>
      <c r="GTB5" s="582"/>
      <c r="GTC5" s="582"/>
      <c r="GTD5" s="582"/>
      <c r="GTE5" s="582"/>
      <c r="GTF5" s="582"/>
      <c r="GTG5" s="582"/>
      <c r="GTH5" s="582"/>
      <c r="GTI5" s="582"/>
      <c r="GTJ5" s="582"/>
      <c r="GTK5" s="582"/>
      <c r="GTL5" s="582"/>
      <c r="GTM5" s="582"/>
      <c r="GTN5" s="582"/>
      <c r="GTO5" s="582"/>
      <c r="GTP5" s="582"/>
      <c r="GTQ5" s="582"/>
      <c r="GTR5" s="582"/>
      <c r="GTS5" s="582"/>
      <c r="GTT5" s="582"/>
      <c r="GTU5" s="582"/>
      <c r="GTV5" s="582"/>
      <c r="GTW5" s="582"/>
      <c r="GTX5" s="582"/>
      <c r="GTY5" s="582"/>
      <c r="GTZ5" s="582"/>
      <c r="GUA5" s="582"/>
      <c r="GUB5" s="582"/>
      <c r="GUC5" s="582"/>
    </row>
    <row r="6" spans="1:5281" ht="19.5">
      <c r="A6" s="594">
        <v>3</v>
      </c>
      <c r="B6" s="595" t="s">
        <v>772</v>
      </c>
      <c r="C6" s="599">
        <v>2438548</v>
      </c>
      <c r="D6" s="597" t="s">
        <v>2017</v>
      </c>
      <c r="E6" s="597">
        <v>7157</v>
      </c>
      <c r="F6" s="598">
        <f t="shared" si="0"/>
        <v>2445705</v>
      </c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582"/>
      <c r="AQ6" s="582"/>
      <c r="AR6" s="582"/>
      <c r="AS6" s="582"/>
      <c r="AT6" s="582"/>
      <c r="AU6" s="582"/>
      <c r="AV6" s="582"/>
      <c r="AW6" s="582"/>
      <c r="AX6" s="582"/>
      <c r="AY6" s="582"/>
      <c r="AZ6" s="582"/>
      <c r="BA6" s="582"/>
      <c r="BB6" s="582"/>
      <c r="BC6" s="582"/>
      <c r="BD6" s="582"/>
      <c r="BE6" s="582"/>
      <c r="BF6" s="582"/>
      <c r="BG6" s="582"/>
      <c r="BH6" s="582"/>
      <c r="BI6" s="582"/>
      <c r="BJ6" s="582"/>
      <c r="BK6" s="582"/>
      <c r="BL6" s="582"/>
      <c r="BM6" s="582"/>
      <c r="BN6" s="582"/>
      <c r="BO6" s="582"/>
      <c r="BP6" s="582"/>
      <c r="BQ6" s="582"/>
      <c r="BR6" s="582"/>
      <c r="BS6" s="582"/>
      <c r="BT6" s="582"/>
      <c r="BU6" s="582"/>
      <c r="BV6" s="582"/>
      <c r="BW6" s="582"/>
      <c r="BX6" s="582"/>
      <c r="BY6" s="582"/>
      <c r="BZ6" s="582"/>
      <c r="CA6" s="582"/>
      <c r="CB6" s="582"/>
      <c r="CC6" s="582"/>
      <c r="CD6" s="582"/>
      <c r="CE6" s="582"/>
      <c r="CF6" s="582"/>
      <c r="CG6" s="582"/>
      <c r="CH6" s="582"/>
      <c r="CI6" s="582"/>
      <c r="CJ6" s="582"/>
      <c r="CK6" s="582"/>
      <c r="CL6" s="582"/>
      <c r="CM6" s="582"/>
      <c r="CN6" s="582"/>
      <c r="CO6" s="582"/>
      <c r="CP6" s="582"/>
      <c r="CQ6" s="582"/>
      <c r="CR6" s="582"/>
      <c r="CS6" s="582"/>
      <c r="CT6" s="582"/>
      <c r="CU6" s="582"/>
      <c r="CV6" s="582"/>
      <c r="CW6" s="582"/>
      <c r="CX6" s="582"/>
      <c r="CY6" s="582"/>
      <c r="CZ6" s="582"/>
      <c r="DA6" s="582"/>
      <c r="DB6" s="582"/>
      <c r="DC6" s="582"/>
      <c r="DD6" s="582"/>
      <c r="DE6" s="582"/>
      <c r="DF6" s="582"/>
      <c r="DG6" s="582"/>
      <c r="DH6" s="582"/>
      <c r="DI6" s="582"/>
      <c r="DJ6" s="582"/>
      <c r="DK6" s="582"/>
      <c r="DL6" s="582"/>
      <c r="DM6" s="582"/>
      <c r="DN6" s="582"/>
      <c r="DO6" s="582"/>
      <c r="DP6" s="582"/>
      <c r="DQ6" s="582"/>
      <c r="DR6" s="582"/>
      <c r="DS6" s="582"/>
      <c r="DT6" s="582"/>
      <c r="DU6" s="582"/>
      <c r="DV6" s="582"/>
      <c r="DW6" s="582"/>
      <c r="DX6" s="582"/>
      <c r="DY6" s="582"/>
      <c r="DZ6" s="582"/>
      <c r="EA6" s="582"/>
      <c r="EB6" s="582"/>
      <c r="EC6" s="582"/>
      <c r="ED6" s="582"/>
      <c r="EE6" s="582"/>
      <c r="EF6" s="582"/>
      <c r="EG6" s="582"/>
      <c r="EH6" s="582"/>
      <c r="EI6" s="582"/>
      <c r="EJ6" s="582"/>
      <c r="EK6" s="582"/>
      <c r="EL6" s="582"/>
      <c r="EM6" s="582"/>
      <c r="EN6" s="582"/>
      <c r="EO6" s="582"/>
      <c r="EP6" s="582"/>
      <c r="EQ6" s="582"/>
      <c r="ER6" s="582"/>
      <c r="ES6" s="582"/>
      <c r="ET6" s="582"/>
      <c r="EU6" s="582"/>
      <c r="EV6" s="582"/>
      <c r="EW6" s="582"/>
      <c r="EX6" s="582"/>
      <c r="EY6" s="582"/>
      <c r="EZ6" s="582"/>
      <c r="FA6" s="582"/>
      <c r="FB6" s="582"/>
      <c r="FC6" s="582"/>
      <c r="FD6" s="582"/>
      <c r="FE6" s="582"/>
      <c r="FF6" s="582"/>
      <c r="FG6" s="582"/>
      <c r="FH6" s="582"/>
      <c r="FI6" s="582"/>
      <c r="FJ6" s="582"/>
      <c r="FK6" s="582"/>
      <c r="FL6" s="582"/>
      <c r="FM6" s="582"/>
      <c r="FN6" s="582"/>
      <c r="FO6" s="582"/>
      <c r="FP6" s="582"/>
      <c r="FQ6" s="582"/>
      <c r="FR6" s="582"/>
      <c r="FS6" s="582"/>
      <c r="FT6" s="582"/>
      <c r="FU6" s="582"/>
      <c r="FV6" s="582"/>
      <c r="FW6" s="582"/>
      <c r="FX6" s="582"/>
      <c r="FY6" s="582"/>
      <c r="FZ6" s="582"/>
      <c r="GA6" s="582"/>
      <c r="GB6" s="582"/>
      <c r="GC6" s="582"/>
      <c r="GD6" s="582"/>
      <c r="GE6" s="582"/>
      <c r="GF6" s="582"/>
      <c r="GG6" s="582"/>
      <c r="GH6" s="582"/>
      <c r="GI6" s="582"/>
      <c r="GJ6" s="582"/>
      <c r="GK6" s="582"/>
      <c r="GL6" s="582"/>
      <c r="GM6" s="582"/>
      <c r="GN6" s="582"/>
      <c r="GO6" s="582"/>
      <c r="GP6" s="582"/>
      <c r="GQ6" s="582"/>
      <c r="GR6" s="582"/>
      <c r="GS6" s="582"/>
      <c r="GT6" s="582"/>
      <c r="GU6" s="582"/>
      <c r="GV6" s="582"/>
      <c r="GW6" s="582"/>
      <c r="GX6" s="582"/>
      <c r="GY6" s="582"/>
      <c r="GZ6" s="582"/>
      <c r="HA6" s="582"/>
      <c r="HB6" s="582"/>
      <c r="HC6" s="582"/>
      <c r="HD6" s="582"/>
      <c r="HE6" s="582"/>
      <c r="HF6" s="582"/>
      <c r="HG6" s="582"/>
      <c r="HH6" s="582"/>
      <c r="HI6" s="582"/>
      <c r="HJ6" s="582"/>
      <c r="HK6" s="582"/>
      <c r="HL6" s="582"/>
      <c r="HM6" s="582"/>
      <c r="HN6" s="582"/>
      <c r="HO6" s="582"/>
      <c r="HP6" s="582"/>
      <c r="HQ6" s="582"/>
      <c r="HR6" s="582"/>
      <c r="HS6" s="582"/>
      <c r="HT6" s="582"/>
      <c r="HU6" s="582"/>
      <c r="HV6" s="582"/>
      <c r="HW6" s="582"/>
      <c r="HX6" s="582"/>
      <c r="HY6" s="582"/>
      <c r="HZ6" s="582"/>
      <c r="IA6" s="582"/>
      <c r="IB6" s="582"/>
      <c r="IC6" s="582"/>
      <c r="ID6" s="582"/>
      <c r="IE6" s="582"/>
      <c r="IF6" s="582"/>
      <c r="IG6" s="582"/>
      <c r="IH6" s="582"/>
      <c r="II6" s="582"/>
      <c r="IJ6" s="582"/>
      <c r="IK6" s="582"/>
      <c r="IL6" s="582"/>
      <c r="IM6" s="582"/>
      <c r="IN6" s="582"/>
      <c r="IO6" s="582"/>
      <c r="IP6" s="582"/>
      <c r="IQ6" s="582"/>
      <c r="IR6" s="582"/>
      <c r="IS6" s="582"/>
      <c r="IT6" s="582"/>
      <c r="IU6" s="582"/>
      <c r="IV6" s="582"/>
      <c r="IW6" s="582"/>
      <c r="IX6" s="582"/>
      <c r="IY6" s="582"/>
      <c r="IZ6" s="582"/>
      <c r="JA6" s="582"/>
      <c r="JB6" s="582"/>
      <c r="JC6" s="582"/>
      <c r="JD6" s="582"/>
      <c r="JE6" s="582"/>
      <c r="JF6" s="582"/>
      <c r="JG6" s="582"/>
      <c r="JH6" s="582"/>
      <c r="JI6" s="582"/>
      <c r="JJ6" s="582"/>
      <c r="JK6" s="582"/>
      <c r="JL6" s="582"/>
      <c r="JM6" s="582"/>
      <c r="JN6" s="582"/>
      <c r="JO6" s="582"/>
      <c r="JP6" s="582"/>
      <c r="JQ6" s="582"/>
      <c r="JR6" s="582"/>
      <c r="JS6" s="582"/>
      <c r="JT6" s="582"/>
      <c r="JU6" s="582"/>
      <c r="JV6" s="582"/>
      <c r="JW6" s="582"/>
      <c r="JX6" s="582"/>
      <c r="JY6" s="582"/>
      <c r="JZ6" s="582"/>
      <c r="KA6" s="582"/>
      <c r="KB6" s="582"/>
      <c r="KC6" s="582"/>
      <c r="KD6" s="582"/>
      <c r="KE6" s="582"/>
      <c r="KF6" s="582"/>
      <c r="KG6" s="582"/>
      <c r="KH6" s="582"/>
      <c r="KI6" s="582"/>
      <c r="KJ6" s="582"/>
      <c r="KK6" s="582"/>
      <c r="KL6" s="582"/>
      <c r="KM6" s="582"/>
      <c r="KN6" s="582"/>
      <c r="KO6" s="582"/>
      <c r="KP6" s="582"/>
      <c r="KQ6" s="582"/>
      <c r="KR6" s="582"/>
      <c r="KS6" s="582"/>
      <c r="KT6" s="582"/>
      <c r="KU6" s="582"/>
      <c r="KV6" s="582"/>
      <c r="KW6" s="582"/>
      <c r="KX6" s="582"/>
      <c r="KY6" s="582"/>
      <c r="KZ6" s="582"/>
      <c r="LA6" s="582"/>
      <c r="LB6" s="582"/>
      <c r="LC6" s="582"/>
      <c r="LD6" s="582"/>
      <c r="LE6" s="582"/>
      <c r="LF6" s="582"/>
      <c r="LG6" s="582"/>
      <c r="LH6" s="582"/>
      <c r="LI6" s="582"/>
      <c r="LJ6" s="582"/>
      <c r="LK6" s="582"/>
      <c r="LL6" s="582"/>
      <c r="LM6" s="582"/>
      <c r="LN6" s="582"/>
      <c r="LO6" s="582"/>
      <c r="LP6" s="582"/>
      <c r="LQ6" s="582"/>
      <c r="LR6" s="582"/>
      <c r="LS6" s="582"/>
      <c r="LT6" s="582"/>
      <c r="LU6" s="582"/>
      <c r="LV6" s="582"/>
      <c r="LW6" s="582"/>
      <c r="LX6" s="582"/>
      <c r="LY6" s="582"/>
      <c r="LZ6" s="582"/>
      <c r="MA6" s="582"/>
      <c r="MB6" s="582"/>
      <c r="MC6" s="582"/>
      <c r="MD6" s="582"/>
      <c r="ME6" s="582"/>
      <c r="MF6" s="582"/>
      <c r="MG6" s="582"/>
      <c r="MH6" s="582"/>
      <c r="MI6" s="582"/>
      <c r="MJ6" s="582"/>
      <c r="MK6" s="582"/>
      <c r="ML6" s="582"/>
      <c r="MM6" s="582"/>
      <c r="MN6" s="582"/>
      <c r="MO6" s="582"/>
      <c r="MP6" s="582"/>
      <c r="MQ6" s="582"/>
      <c r="MR6" s="582"/>
      <c r="MS6" s="582"/>
      <c r="MT6" s="582"/>
      <c r="MU6" s="582"/>
      <c r="MV6" s="582"/>
      <c r="MW6" s="582"/>
      <c r="MX6" s="582"/>
      <c r="MY6" s="582"/>
      <c r="MZ6" s="582"/>
      <c r="NA6" s="582"/>
      <c r="NB6" s="582"/>
      <c r="NC6" s="582"/>
      <c r="ND6" s="582"/>
      <c r="NE6" s="582"/>
      <c r="NF6" s="582"/>
      <c r="NG6" s="582"/>
      <c r="NH6" s="582"/>
      <c r="NI6" s="582"/>
      <c r="NJ6" s="582"/>
      <c r="NK6" s="582"/>
      <c r="NL6" s="582"/>
      <c r="NM6" s="582"/>
      <c r="NN6" s="582"/>
      <c r="NO6" s="582"/>
      <c r="NP6" s="582"/>
      <c r="NQ6" s="582"/>
      <c r="NR6" s="582"/>
      <c r="NS6" s="582"/>
      <c r="NT6" s="582"/>
      <c r="NU6" s="582"/>
      <c r="NV6" s="582"/>
      <c r="NW6" s="582"/>
      <c r="NX6" s="582"/>
      <c r="NY6" s="582"/>
      <c r="NZ6" s="582"/>
      <c r="OA6" s="582"/>
      <c r="OB6" s="582"/>
      <c r="OC6" s="582"/>
      <c r="OD6" s="582"/>
      <c r="OE6" s="582"/>
      <c r="OF6" s="582"/>
      <c r="OG6" s="582"/>
      <c r="OH6" s="582"/>
      <c r="OI6" s="582"/>
      <c r="OJ6" s="582"/>
      <c r="OK6" s="582"/>
      <c r="OL6" s="582"/>
      <c r="OM6" s="582"/>
      <c r="ON6" s="582"/>
      <c r="OO6" s="582"/>
      <c r="OP6" s="582"/>
      <c r="OQ6" s="582"/>
      <c r="OR6" s="582"/>
      <c r="OS6" s="582"/>
      <c r="OT6" s="582"/>
      <c r="OU6" s="582"/>
      <c r="OV6" s="582"/>
      <c r="OW6" s="582"/>
      <c r="OX6" s="582"/>
      <c r="OY6" s="582"/>
      <c r="OZ6" s="582"/>
      <c r="PA6" s="582"/>
      <c r="PB6" s="582"/>
      <c r="PC6" s="582"/>
      <c r="PD6" s="582"/>
      <c r="PE6" s="582"/>
      <c r="PF6" s="582"/>
      <c r="PG6" s="582"/>
      <c r="PH6" s="582"/>
      <c r="PI6" s="582"/>
      <c r="PJ6" s="582"/>
      <c r="PK6" s="582"/>
      <c r="PL6" s="582"/>
      <c r="PM6" s="582"/>
      <c r="PN6" s="582"/>
      <c r="PO6" s="582"/>
      <c r="PP6" s="582"/>
      <c r="PQ6" s="582"/>
      <c r="PR6" s="582"/>
      <c r="PS6" s="582"/>
      <c r="PT6" s="582"/>
      <c r="PU6" s="582"/>
      <c r="PV6" s="582"/>
      <c r="PW6" s="582"/>
      <c r="PX6" s="582"/>
      <c r="PY6" s="582"/>
      <c r="PZ6" s="582"/>
      <c r="QA6" s="582"/>
      <c r="QB6" s="582"/>
      <c r="QC6" s="582"/>
      <c r="QD6" s="582"/>
      <c r="QE6" s="582"/>
      <c r="QF6" s="582"/>
      <c r="QG6" s="582"/>
      <c r="QH6" s="582"/>
      <c r="QI6" s="582"/>
      <c r="QJ6" s="582"/>
      <c r="QK6" s="582"/>
      <c r="QL6" s="582"/>
      <c r="QM6" s="582"/>
      <c r="QN6" s="582"/>
      <c r="QO6" s="582"/>
      <c r="QP6" s="582"/>
      <c r="QQ6" s="582"/>
      <c r="QR6" s="582"/>
      <c r="QS6" s="582"/>
      <c r="QT6" s="582"/>
      <c r="QU6" s="582"/>
      <c r="QV6" s="582"/>
      <c r="QW6" s="582"/>
      <c r="QX6" s="582"/>
      <c r="QY6" s="582"/>
      <c r="QZ6" s="582"/>
      <c r="RA6" s="582"/>
      <c r="RB6" s="582"/>
      <c r="RC6" s="582"/>
      <c r="RD6" s="582"/>
      <c r="RE6" s="582"/>
      <c r="RF6" s="582"/>
      <c r="RG6" s="582"/>
      <c r="RH6" s="582"/>
      <c r="RI6" s="582"/>
      <c r="RJ6" s="582"/>
      <c r="RK6" s="582"/>
      <c r="RL6" s="582"/>
      <c r="RM6" s="582"/>
      <c r="RN6" s="582"/>
      <c r="RO6" s="582"/>
      <c r="RP6" s="582"/>
      <c r="RQ6" s="582"/>
      <c r="RR6" s="582"/>
      <c r="RS6" s="582"/>
      <c r="RT6" s="582"/>
      <c r="RU6" s="582"/>
      <c r="RV6" s="582"/>
      <c r="RW6" s="582"/>
      <c r="RX6" s="582"/>
      <c r="RY6" s="582"/>
      <c r="RZ6" s="582"/>
      <c r="SA6" s="582"/>
      <c r="SB6" s="582"/>
      <c r="SC6" s="582"/>
      <c r="SD6" s="582"/>
      <c r="SE6" s="582"/>
      <c r="SF6" s="582"/>
      <c r="SG6" s="582"/>
      <c r="SH6" s="582"/>
      <c r="SI6" s="582"/>
      <c r="SJ6" s="582"/>
      <c r="SK6" s="582"/>
      <c r="SL6" s="582"/>
      <c r="SM6" s="582"/>
      <c r="SN6" s="582"/>
      <c r="SO6" s="582"/>
      <c r="SP6" s="582"/>
      <c r="SQ6" s="582"/>
      <c r="SR6" s="582"/>
      <c r="SS6" s="582"/>
      <c r="ST6" s="582"/>
      <c r="SU6" s="582"/>
      <c r="SV6" s="582"/>
      <c r="SW6" s="582"/>
      <c r="SX6" s="582"/>
      <c r="SY6" s="582"/>
      <c r="SZ6" s="582"/>
      <c r="TA6" s="582"/>
      <c r="TB6" s="582"/>
      <c r="TC6" s="582"/>
      <c r="TD6" s="582"/>
      <c r="TE6" s="582"/>
      <c r="TF6" s="582"/>
      <c r="TG6" s="582"/>
      <c r="TH6" s="582"/>
      <c r="TI6" s="582"/>
      <c r="TJ6" s="582"/>
      <c r="TK6" s="582"/>
      <c r="TL6" s="582"/>
      <c r="TM6" s="582"/>
      <c r="TN6" s="582"/>
      <c r="TO6" s="582"/>
      <c r="TP6" s="582"/>
      <c r="TQ6" s="582"/>
      <c r="TR6" s="582"/>
      <c r="TS6" s="582"/>
      <c r="TT6" s="582"/>
      <c r="TU6" s="582"/>
      <c r="TV6" s="582"/>
      <c r="TW6" s="582"/>
      <c r="TX6" s="582"/>
      <c r="TY6" s="582"/>
      <c r="TZ6" s="582"/>
      <c r="UA6" s="582"/>
      <c r="UB6" s="582"/>
      <c r="UC6" s="582"/>
      <c r="UD6" s="582"/>
      <c r="UE6" s="582"/>
      <c r="UF6" s="582"/>
      <c r="UG6" s="582"/>
      <c r="UH6" s="582"/>
      <c r="UI6" s="582"/>
      <c r="UJ6" s="582"/>
      <c r="UK6" s="582"/>
      <c r="UL6" s="582"/>
      <c r="UM6" s="582"/>
      <c r="UN6" s="582"/>
      <c r="UO6" s="582"/>
      <c r="UP6" s="582"/>
      <c r="UQ6" s="582"/>
      <c r="UR6" s="582"/>
      <c r="US6" s="582"/>
      <c r="UT6" s="582"/>
      <c r="UU6" s="582"/>
      <c r="UV6" s="582"/>
      <c r="UW6" s="582"/>
      <c r="UX6" s="582"/>
      <c r="UY6" s="582"/>
      <c r="UZ6" s="582"/>
      <c r="VA6" s="582"/>
      <c r="VB6" s="582"/>
      <c r="VC6" s="582"/>
      <c r="VD6" s="582"/>
      <c r="VE6" s="582"/>
      <c r="VF6" s="582"/>
      <c r="VG6" s="582"/>
      <c r="VH6" s="582"/>
      <c r="VI6" s="582"/>
      <c r="VJ6" s="582"/>
      <c r="VK6" s="582"/>
      <c r="VL6" s="582"/>
      <c r="VM6" s="582"/>
      <c r="VN6" s="582"/>
      <c r="VO6" s="582"/>
      <c r="VP6" s="582"/>
      <c r="VQ6" s="582"/>
      <c r="VR6" s="582"/>
      <c r="VS6" s="582"/>
      <c r="VT6" s="582"/>
      <c r="VU6" s="582"/>
      <c r="VV6" s="582"/>
      <c r="VW6" s="582"/>
      <c r="VX6" s="582"/>
      <c r="VY6" s="582"/>
      <c r="VZ6" s="582"/>
      <c r="WA6" s="582"/>
      <c r="WB6" s="582"/>
      <c r="WC6" s="582"/>
      <c r="WD6" s="582"/>
      <c r="WE6" s="582"/>
      <c r="WF6" s="582"/>
      <c r="WG6" s="582"/>
      <c r="WH6" s="582"/>
      <c r="WI6" s="582"/>
      <c r="WJ6" s="582"/>
      <c r="WK6" s="582"/>
      <c r="WL6" s="582"/>
      <c r="WM6" s="582"/>
      <c r="WN6" s="582"/>
      <c r="WO6" s="582"/>
      <c r="WP6" s="582"/>
      <c r="WQ6" s="582"/>
      <c r="WR6" s="582"/>
      <c r="WS6" s="582"/>
      <c r="WT6" s="582"/>
      <c r="WU6" s="582"/>
      <c r="WV6" s="582"/>
      <c r="WW6" s="582"/>
      <c r="WX6" s="582"/>
      <c r="WY6" s="582"/>
      <c r="WZ6" s="582"/>
      <c r="XA6" s="582"/>
      <c r="XB6" s="582"/>
      <c r="XC6" s="582"/>
      <c r="XD6" s="582"/>
      <c r="XE6" s="582"/>
      <c r="XF6" s="582"/>
      <c r="XG6" s="582"/>
      <c r="XH6" s="582"/>
      <c r="XI6" s="582"/>
      <c r="XJ6" s="582"/>
      <c r="XK6" s="582"/>
      <c r="XL6" s="582"/>
      <c r="XM6" s="582"/>
      <c r="XN6" s="582"/>
      <c r="XO6" s="582"/>
      <c r="XP6" s="582"/>
      <c r="XQ6" s="582"/>
      <c r="XR6" s="582"/>
      <c r="XS6" s="582"/>
      <c r="XT6" s="582"/>
      <c r="XU6" s="582"/>
      <c r="XV6" s="582"/>
      <c r="XW6" s="582"/>
      <c r="XX6" s="582"/>
      <c r="XY6" s="582"/>
      <c r="XZ6" s="582"/>
      <c r="YA6" s="582"/>
      <c r="YB6" s="582"/>
      <c r="YC6" s="582"/>
      <c r="YD6" s="582"/>
      <c r="YE6" s="582"/>
      <c r="YF6" s="582"/>
      <c r="YG6" s="582"/>
      <c r="YH6" s="582"/>
      <c r="YI6" s="582"/>
      <c r="YJ6" s="582"/>
      <c r="YK6" s="582"/>
      <c r="YL6" s="582"/>
      <c r="YM6" s="582"/>
      <c r="YN6" s="582"/>
      <c r="YO6" s="582"/>
      <c r="YP6" s="582"/>
      <c r="YQ6" s="582"/>
      <c r="YR6" s="582"/>
      <c r="YS6" s="582"/>
      <c r="YT6" s="582"/>
      <c r="YU6" s="582"/>
      <c r="YV6" s="582"/>
      <c r="YW6" s="582"/>
      <c r="YX6" s="582"/>
      <c r="YY6" s="582"/>
      <c r="YZ6" s="582"/>
      <c r="ZA6" s="582"/>
      <c r="ZB6" s="582"/>
      <c r="ZC6" s="582"/>
      <c r="ZD6" s="582"/>
      <c r="ZE6" s="582"/>
      <c r="ZF6" s="582"/>
      <c r="ZG6" s="582"/>
      <c r="ZH6" s="582"/>
      <c r="ZI6" s="582"/>
      <c r="ZJ6" s="582"/>
      <c r="ZK6" s="582"/>
      <c r="ZL6" s="582"/>
      <c r="ZM6" s="582"/>
      <c r="ZN6" s="582"/>
      <c r="ZO6" s="582"/>
      <c r="ZP6" s="582"/>
      <c r="ZQ6" s="582"/>
      <c r="ZR6" s="582"/>
      <c r="ZS6" s="582"/>
      <c r="ZT6" s="582"/>
      <c r="ZU6" s="582"/>
      <c r="ZV6" s="582"/>
      <c r="ZW6" s="582"/>
      <c r="ZX6" s="582"/>
      <c r="ZY6" s="582"/>
      <c r="ZZ6" s="582"/>
      <c r="AAA6" s="582"/>
      <c r="AAB6" s="582"/>
      <c r="AAC6" s="582"/>
      <c r="AAD6" s="582"/>
      <c r="AAE6" s="582"/>
      <c r="AAF6" s="582"/>
      <c r="AAG6" s="582"/>
      <c r="AAH6" s="582"/>
      <c r="AAI6" s="582"/>
      <c r="AAJ6" s="582"/>
      <c r="AAK6" s="582"/>
      <c r="AAL6" s="582"/>
      <c r="AAM6" s="582"/>
      <c r="AAN6" s="582"/>
      <c r="AAO6" s="582"/>
      <c r="AAP6" s="582"/>
      <c r="AAQ6" s="582"/>
      <c r="AAR6" s="582"/>
      <c r="AAS6" s="582"/>
      <c r="AAT6" s="582"/>
      <c r="AAU6" s="582"/>
      <c r="AAV6" s="582"/>
      <c r="AAW6" s="582"/>
      <c r="AAX6" s="582"/>
      <c r="AAY6" s="582"/>
      <c r="AAZ6" s="582"/>
      <c r="ABA6" s="582"/>
      <c r="ABB6" s="582"/>
      <c r="ABC6" s="582"/>
      <c r="ABD6" s="582"/>
      <c r="ABE6" s="582"/>
      <c r="ABF6" s="582"/>
      <c r="ABG6" s="582"/>
      <c r="ABH6" s="582"/>
      <c r="ABI6" s="582"/>
      <c r="ABJ6" s="582"/>
      <c r="ABK6" s="582"/>
      <c r="ABL6" s="582"/>
      <c r="ABM6" s="582"/>
      <c r="ABN6" s="582"/>
      <c r="ABO6" s="582"/>
      <c r="ABP6" s="582"/>
      <c r="ABQ6" s="582"/>
      <c r="ABR6" s="582"/>
      <c r="ABS6" s="582"/>
      <c r="ABT6" s="582"/>
      <c r="ABU6" s="582"/>
      <c r="ABV6" s="582"/>
      <c r="ABW6" s="582"/>
      <c r="ABX6" s="582"/>
      <c r="ABY6" s="582"/>
      <c r="ABZ6" s="582"/>
      <c r="ACA6" s="582"/>
      <c r="ACB6" s="582"/>
      <c r="ACC6" s="582"/>
      <c r="ACD6" s="582"/>
      <c r="ACE6" s="582"/>
      <c r="ACF6" s="582"/>
      <c r="ACG6" s="582"/>
      <c r="ACH6" s="582"/>
      <c r="ACI6" s="582"/>
      <c r="ACJ6" s="582"/>
      <c r="ACK6" s="582"/>
      <c r="ACL6" s="582"/>
      <c r="ACM6" s="582"/>
      <c r="ACN6" s="582"/>
      <c r="ACO6" s="582"/>
      <c r="ACP6" s="582"/>
      <c r="ACQ6" s="582"/>
      <c r="ACR6" s="582"/>
      <c r="ACS6" s="582"/>
      <c r="ACT6" s="582"/>
      <c r="ACU6" s="582"/>
      <c r="ACV6" s="582"/>
      <c r="ACW6" s="582"/>
      <c r="ACX6" s="582"/>
      <c r="ACY6" s="582"/>
      <c r="ACZ6" s="582"/>
      <c r="ADA6" s="582"/>
      <c r="ADB6" s="582"/>
      <c r="ADC6" s="582"/>
      <c r="ADD6" s="582"/>
      <c r="ADE6" s="582"/>
      <c r="ADF6" s="582"/>
      <c r="ADG6" s="582"/>
      <c r="ADH6" s="582"/>
      <c r="ADI6" s="582"/>
      <c r="ADJ6" s="582"/>
      <c r="ADK6" s="582"/>
      <c r="ADL6" s="582"/>
      <c r="ADM6" s="582"/>
      <c r="ADN6" s="582"/>
      <c r="ADO6" s="582"/>
      <c r="ADP6" s="582"/>
      <c r="ADQ6" s="582"/>
      <c r="ADR6" s="582"/>
      <c r="ADS6" s="582"/>
      <c r="ADT6" s="582"/>
      <c r="ADU6" s="582"/>
      <c r="ADV6" s="582"/>
      <c r="ADW6" s="582"/>
      <c r="ADX6" s="582"/>
      <c r="ADY6" s="582"/>
      <c r="ADZ6" s="582"/>
      <c r="AEA6" s="582"/>
      <c r="AEB6" s="582"/>
      <c r="AEC6" s="582"/>
      <c r="AED6" s="582"/>
      <c r="AEE6" s="582"/>
      <c r="AEF6" s="582"/>
      <c r="AEG6" s="582"/>
      <c r="AEH6" s="582"/>
      <c r="AEI6" s="582"/>
      <c r="AEJ6" s="582"/>
      <c r="AEK6" s="582"/>
      <c r="AEL6" s="582"/>
      <c r="AEM6" s="582"/>
      <c r="AEN6" s="582"/>
      <c r="AEO6" s="582"/>
      <c r="AEP6" s="582"/>
      <c r="AEQ6" s="582"/>
      <c r="AER6" s="582"/>
      <c r="AES6" s="582"/>
      <c r="AET6" s="582"/>
      <c r="AEU6" s="582"/>
      <c r="AEV6" s="582"/>
      <c r="AEW6" s="582"/>
      <c r="AEX6" s="582"/>
      <c r="AEY6" s="582"/>
      <c r="AEZ6" s="582"/>
      <c r="AFA6" s="582"/>
      <c r="AFB6" s="582"/>
      <c r="AFC6" s="582"/>
      <c r="AFD6" s="582"/>
      <c r="AFE6" s="582"/>
      <c r="AFF6" s="582"/>
      <c r="AFG6" s="582"/>
      <c r="AFH6" s="582"/>
      <c r="AFI6" s="582"/>
      <c r="AFJ6" s="582"/>
      <c r="AFK6" s="582"/>
      <c r="AFL6" s="582"/>
      <c r="AFM6" s="582"/>
      <c r="AFN6" s="582"/>
      <c r="AFO6" s="582"/>
      <c r="AFP6" s="582"/>
      <c r="AFQ6" s="582"/>
      <c r="AFR6" s="582"/>
      <c r="AFS6" s="582"/>
      <c r="AFT6" s="582"/>
      <c r="AFU6" s="582"/>
      <c r="AFV6" s="582"/>
      <c r="AFW6" s="582"/>
      <c r="AFX6" s="582"/>
      <c r="AFY6" s="582"/>
      <c r="AFZ6" s="582"/>
      <c r="AGA6" s="582"/>
      <c r="AGB6" s="582"/>
      <c r="AGC6" s="582"/>
      <c r="AGD6" s="582"/>
      <c r="AGE6" s="582"/>
      <c r="AGF6" s="582"/>
      <c r="AGG6" s="582"/>
      <c r="AGH6" s="582"/>
      <c r="AGI6" s="582"/>
      <c r="AGJ6" s="582"/>
      <c r="AGK6" s="582"/>
      <c r="AGL6" s="582"/>
      <c r="AGM6" s="582"/>
      <c r="AGN6" s="582"/>
      <c r="AGO6" s="582"/>
      <c r="AGP6" s="582"/>
      <c r="AGQ6" s="582"/>
      <c r="AGR6" s="582"/>
      <c r="AGS6" s="582"/>
      <c r="AGT6" s="582"/>
      <c r="AGU6" s="582"/>
      <c r="AGV6" s="582"/>
      <c r="AGW6" s="582"/>
      <c r="AGX6" s="582"/>
      <c r="AGY6" s="582"/>
      <c r="AGZ6" s="582"/>
      <c r="AHA6" s="582"/>
      <c r="AHB6" s="582"/>
      <c r="AHC6" s="582"/>
      <c r="AHD6" s="582"/>
      <c r="AHE6" s="582"/>
      <c r="AHF6" s="582"/>
      <c r="AHG6" s="582"/>
      <c r="AHH6" s="582"/>
      <c r="AHI6" s="582"/>
      <c r="AHJ6" s="582"/>
      <c r="AHK6" s="582"/>
      <c r="AHL6" s="582"/>
      <c r="AHM6" s="582"/>
      <c r="AHN6" s="582"/>
      <c r="AHO6" s="582"/>
      <c r="AHP6" s="582"/>
      <c r="AHQ6" s="582"/>
      <c r="AHR6" s="582"/>
      <c r="AHS6" s="582"/>
      <c r="AHT6" s="582"/>
      <c r="AHU6" s="582"/>
      <c r="AHV6" s="582"/>
      <c r="AHW6" s="582"/>
      <c r="AHX6" s="582"/>
      <c r="AHY6" s="582"/>
      <c r="AHZ6" s="582"/>
      <c r="AIA6" s="582"/>
      <c r="AIB6" s="582"/>
      <c r="AIC6" s="582"/>
      <c r="AID6" s="582"/>
      <c r="AIE6" s="582"/>
      <c r="AIF6" s="582"/>
      <c r="AIG6" s="582"/>
      <c r="AIH6" s="582"/>
      <c r="AII6" s="582"/>
      <c r="AIJ6" s="582"/>
      <c r="AIK6" s="582"/>
      <c r="AIL6" s="582"/>
      <c r="AIM6" s="582"/>
      <c r="AIN6" s="582"/>
      <c r="AIO6" s="582"/>
      <c r="AIP6" s="582"/>
      <c r="AIQ6" s="582"/>
      <c r="AIR6" s="582"/>
      <c r="AIS6" s="582"/>
      <c r="AIT6" s="582"/>
      <c r="AIU6" s="582"/>
      <c r="AIV6" s="582"/>
      <c r="AIW6" s="582"/>
      <c r="AIX6" s="582"/>
      <c r="AIY6" s="582"/>
      <c r="AIZ6" s="582"/>
      <c r="AJA6" s="582"/>
      <c r="AJB6" s="582"/>
      <c r="AJC6" s="582"/>
      <c r="AJD6" s="582"/>
      <c r="AJE6" s="582"/>
      <c r="AJF6" s="582"/>
      <c r="AJG6" s="582"/>
      <c r="AJH6" s="582"/>
      <c r="AJI6" s="582"/>
      <c r="AJJ6" s="582"/>
      <c r="AJK6" s="582"/>
      <c r="AJL6" s="582"/>
      <c r="AJM6" s="582"/>
      <c r="AJN6" s="582"/>
      <c r="AJO6" s="582"/>
      <c r="AJP6" s="582"/>
      <c r="AJQ6" s="582"/>
      <c r="AJR6" s="582"/>
      <c r="AJS6" s="582"/>
      <c r="AJT6" s="582"/>
      <c r="AJU6" s="582"/>
      <c r="AJV6" s="582"/>
      <c r="AJW6" s="582"/>
      <c r="AJX6" s="582"/>
      <c r="AJY6" s="582"/>
      <c r="AJZ6" s="582"/>
      <c r="AKA6" s="582"/>
      <c r="AKB6" s="582"/>
      <c r="AKC6" s="582"/>
      <c r="AKD6" s="582"/>
      <c r="AKE6" s="582"/>
      <c r="AKF6" s="582"/>
      <c r="AKG6" s="582"/>
      <c r="AKH6" s="582"/>
      <c r="AKI6" s="582"/>
      <c r="AKJ6" s="582"/>
      <c r="AKK6" s="582"/>
      <c r="AKL6" s="582"/>
      <c r="AKM6" s="582"/>
      <c r="AKN6" s="582"/>
      <c r="AKO6" s="582"/>
      <c r="AKP6" s="582"/>
      <c r="AKQ6" s="582"/>
      <c r="AKR6" s="582"/>
      <c r="AKS6" s="582"/>
      <c r="AKT6" s="582"/>
      <c r="AKU6" s="582"/>
      <c r="AKV6" s="582"/>
      <c r="AKW6" s="582"/>
      <c r="AKX6" s="582"/>
      <c r="AKY6" s="582"/>
      <c r="AKZ6" s="582"/>
      <c r="ALA6" s="582"/>
      <c r="ALB6" s="582"/>
      <c r="ALC6" s="582"/>
      <c r="ALD6" s="582"/>
      <c r="ALE6" s="582"/>
      <c r="ALF6" s="582"/>
      <c r="ALG6" s="582"/>
      <c r="ALH6" s="582"/>
      <c r="ALI6" s="582"/>
      <c r="ALJ6" s="582"/>
      <c r="ALK6" s="582"/>
      <c r="ALL6" s="582"/>
      <c r="ALM6" s="582"/>
      <c r="ALN6" s="582"/>
      <c r="ALO6" s="582"/>
      <c r="ALP6" s="582"/>
      <c r="ALQ6" s="582"/>
      <c r="ALR6" s="582"/>
      <c r="ALS6" s="582"/>
      <c r="ALT6" s="582"/>
      <c r="ALU6" s="582"/>
      <c r="ALV6" s="582"/>
      <c r="ALW6" s="582"/>
      <c r="ALX6" s="582"/>
      <c r="ALY6" s="582"/>
      <c r="ALZ6" s="582"/>
      <c r="AMA6" s="582"/>
      <c r="AMB6" s="582"/>
      <c r="AMC6" s="582"/>
      <c r="AMD6" s="582"/>
      <c r="AME6" s="582"/>
      <c r="AMF6" s="582"/>
      <c r="AMG6" s="582"/>
      <c r="AMH6" s="582"/>
      <c r="AMI6" s="582"/>
      <c r="AMJ6" s="582"/>
      <c r="AMK6" s="582"/>
      <c r="AML6" s="582"/>
      <c r="AMM6" s="582"/>
      <c r="AMN6" s="582"/>
      <c r="AMO6" s="582"/>
      <c r="AMP6" s="582"/>
      <c r="AMQ6" s="582"/>
      <c r="AMR6" s="582"/>
      <c r="AMS6" s="582"/>
      <c r="AMT6" s="582"/>
      <c r="AMU6" s="582"/>
      <c r="AMV6" s="582"/>
      <c r="AMW6" s="582"/>
      <c r="AMX6" s="582"/>
      <c r="AMY6" s="582"/>
      <c r="AMZ6" s="582"/>
      <c r="ANA6" s="582"/>
      <c r="ANB6" s="582"/>
      <c r="ANC6" s="582"/>
      <c r="AND6" s="582"/>
      <c r="ANE6" s="582"/>
      <c r="ANF6" s="582"/>
      <c r="ANG6" s="582"/>
      <c r="ANH6" s="582"/>
      <c r="ANI6" s="582"/>
      <c r="ANJ6" s="582"/>
      <c r="ANK6" s="582"/>
      <c r="ANL6" s="582"/>
      <c r="ANM6" s="582"/>
      <c r="ANN6" s="582"/>
      <c r="ANO6" s="582"/>
      <c r="ANP6" s="582"/>
      <c r="ANQ6" s="582"/>
      <c r="ANR6" s="582"/>
      <c r="ANS6" s="582"/>
      <c r="ANT6" s="582"/>
      <c r="ANU6" s="582"/>
      <c r="ANV6" s="582"/>
      <c r="ANW6" s="582"/>
      <c r="ANX6" s="582"/>
      <c r="ANY6" s="582"/>
      <c r="ANZ6" s="582"/>
      <c r="AOA6" s="582"/>
      <c r="AOB6" s="582"/>
      <c r="AOC6" s="582"/>
      <c r="AOD6" s="582"/>
      <c r="AOE6" s="582"/>
      <c r="AOF6" s="582"/>
      <c r="AOG6" s="582"/>
      <c r="AOH6" s="582"/>
      <c r="AOI6" s="582"/>
      <c r="AOJ6" s="582"/>
      <c r="AOK6" s="582"/>
      <c r="AOL6" s="582"/>
      <c r="AOM6" s="582"/>
      <c r="AON6" s="582"/>
      <c r="AOO6" s="582"/>
      <c r="AOP6" s="582"/>
      <c r="AOQ6" s="582"/>
      <c r="AOR6" s="582"/>
      <c r="AOS6" s="582"/>
      <c r="AOT6" s="582"/>
      <c r="AOU6" s="582"/>
      <c r="AOV6" s="582"/>
      <c r="AOW6" s="582"/>
      <c r="AOX6" s="582"/>
      <c r="AOY6" s="582"/>
      <c r="AOZ6" s="582"/>
      <c r="APA6" s="582"/>
      <c r="APB6" s="582"/>
      <c r="APC6" s="582"/>
      <c r="APD6" s="582"/>
      <c r="APE6" s="582"/>
      <c r="APF6" s="582"/>
      <c r="APG6" s="582"/>
      <c r="APH6" s="582"/>
      <c r="API6" s="582"/>
      <c r="APJ6" s="582"/>
      <c r="APK6" s="582"/>
      <c r="APL6" s="582"/>
      <c r="APM6" s="582"/>
      <c r="APN6" s="582"/>
      <c r="APO6" s="582"/>
      <c r="APP6" s="582"/>
      <c r="APQ6" s="582"/>
      <c r="APR6" s="582"/>
      <c r="APS6" s="582"/>
      <c r="APT6" s="582"/>
      <c r="APU6" s="582"/>
      <c r="APV6" s="582"/>
      <c r="APW6" s="582"/>
      <c r="APX6" s="582"/>
      <c r="APY6" s="582"/>
      <c r="APZ6" s="582"/>
      <c r="AQA6" s="582"/>
      <c r="AQB6" s="582"/>
      <c r="AQC6" s="582"/>
      <c r="AQD6" s="582"/>
      <c r="AQE6" s="582"/>
      <c r="AQF6" s="582"/>
      <c r="AQG6" s="582"/>
      <c r="AQH6" s="582"/>
      <c r="AQI6" s="582"/>
      <c r="AQJ6" s="582"/>
      <c r="AQK6" s="582"/>
      <c r="AQL6" s="582"/>
      <c r="AQM6" s="582"/>
      <c r="AQN6" s="582"/>
      <c r="AQO6" s="582"/>
      <c r="AQP6" s="582"/>
      <c r="AQQ6" s="582"/>
      <c r="AQR6" s="582"/>
      <c r="AQS6" s="582"/>
      <c r="AQT6" s="582"/>
      <c r="AQU6" s="582"/>
      <c r="AQV6" s="582"/>
      <c r="AQW6" s="582"/>
      <c r="AQX6" s="582"/>
      <c r="AQY6" s="582"/>
      <c r="AQZ6" s="582"/>
      <c r="ARA6" s="582"/>
      <c r="ARB6" s="582"/>
      <c r="ARC6" s="582"/>
      <c r="ARD6" s="582"/>
      <c r="ARE6" s="582"/>
      <c r="ARF6" s="582"/>
      <c r="ARG6" s="582"/>
      <c r="ARH6" s="582"/>
      <c r="ARI6" s="582"/>
      <c r="ARJ6" s="582"/>
      <c r="ARK6" s="582"/>
      <c r="ARL6" s="582"/>
      <c r="ARM6" s="582"/>
      <c r="ARN6" s="582"/>
      <c r="ARO6" s="582"/>
      <c r="ARP6" s="582"/>
      <c r="ARQ6" s="582"/>
      <c r="ARR6" s="582"/>
      <c r="ARS6" s="582"/>
      <c r="ART6" s="582"/>
      <c r="ARU6" s="582"/>
      <c r="ARV6" s="582"/>
      <c r="ARW6" s="582"/>
      <c r="ARX6" s="582"/>
      <c r="ARY6" s="582"/>
      <c r="ARZ6" s="582"/>
      <c r="ASA6" s="582"/>
      <c r="ASB6" s="582"/>
      <c r="ASC6" s="582"/>
      <c r="ASD6" s="582"/>
      <c r="ASE6" s="582"/>
      <c r="ASF6" s="582"/>
      <c r="ASG6" s="582"/>
      <c r="ASH6" s="582"/>
      <c r="ASI6" s="582"/>
      <c r="ASJ6" s="582"/>
      <c r="ASK6" s="582"/>
      <c r="ASL6" s="582"/>
      <c r="ASM6" s="582"/>
      <c r="ASN6" s="582"/>
      <c r="ASO6" s="582"/>
      <c r="ASP6" s="582"/>
      <c r="ASQ6" s="582"/>
      <c r="ASR6" s="582"/>
      <c r="ASS6" s="582"/>
      <c r="AST6" s="582"/>
      <c r="ASU6" s="582"/>
      <c r="ASV6" s="582"/>
      <c r="ASW6" s="582"/>
      <c r="ASX6" s="582"/>
      <c r="ASY6" s="582"/>
      <c r="ASZ6" s="582"/>
      <c r="ATA6" s="582"/>
      <c r="ATB6" s="582"/>
      <c r="ATC6" s="582"/>
      <c r="ATD6" s="582"/>
      <c r="ATE6" s="582"/>
      <c r="ATF6" s="582"/>
      <c r="ATG6" s="582"/>
      <c r="ATH6" s="582"/>
      <c r="ATI6" s="582"/>
      <c r="ATJ6" s="582"/>
      <c r="ATK6" s="582"/>
      <c r="ATL6" s="582"/>
      <c r="ATM6" s="582"/>
      <c r="ATN6" s="582"/>
      <c r="ATO6" s="582"/>
      <c r="ATP6" s="582"/>
      <c r="ATQ6" s="582"/>
      <c r="ATR6" s="582"/>
      <c r="ATS6" s="582"/>
      <c r="ATT6" s="582"/>
      <c r="ATU6" s="582"/>
      <c r="ATV6" s="582"/>
      <c r="ATW6" s="582"/>
      <c r="ATX6" s="582"/>
      <c r="ATY6" s="582"/>
      <c r="ATZ6" s="582"/>
      <c r="AUA6" s="582"/>
      <c r="AUB6" s="582"/>
      <c r="AUC6" s="582"/>
      <c r="AUD6" s="582"/>
      <c r="AUE6" s="582"/>
      <c r="AUF6" s="582"/>
      <c r="AUG6" s="582"/>
      <c r="AUH6" s="582"/>
      <c r="AUI6" s="582"/>
      <c r="AUJ6" s="582"/>
      <c r="AUK6" s="582"/>
      <c r="AUL6" s="582"/>
      <c r="AUM6" s="582"/>
      <c r="AUN6" s="582"/>
      <c r="AUO6" s="582"/>
      <c r="AUP6" s="582"/>
      <c r="AUQ6" s="582"/>
      <c r="AUR6" s="582"/>
      <c r="AUS6" s="582"/>
      <c r="AUT6" s="582"/>
      <c r="AUU6" s="582"/>
      <c r="AUV6" s="582"/>
      <c r="AUW6" s="582"/>
      <c r="AUX6" s="582"/>
      <c r="AUY6" s="582"/>
      <c r="AUZ6" s="582"/>
      <c r="AVA6" s="582"/>
      <c r="AVB6" s="582"/>
      <c r="AVC6" s="582"/>
      <c r="AVD6" s="582"/>
      <c r="AVE6" s="582"/>
      <c r="AVF6" s="582"/>
      <c r="AVG6" s="582"/>
      <c r="AVH6" s="582"/>
      <c r="AVI6" s="582"/>
      <c r="AVJ6" s="582"/>
      <c r="AVK6" s="582"/>
      <c r="AVL6" s="582"/>
      <c r="AVM6" s="582"/>
      <c r="AVN6" s="582"/>
      <c r="AVO6" s="582"/>
      <c r="AVP6" s="582"/>
      <c r="AVQ6" s="582"/>
      <c r="AVR6" s="582"/>
      <c r="AVS6" s="582"/>
      <c r="AVT6" s="582"/>
      <c r="AVU6" s="582"/>
      <c r="AVV6" s="582"/>
      <c r="AVW6" s="582"/>
      <c r="AVX6" s="582"/>
      <c r="AVY6" s="582"/>
      <c r="AVZ6" s="582"/>
      <c r="AWA6" s="582"/>
      <c r="AWB6" s="582"/>
      <c r="AWC6" s="582"/>
      <c r="AWD6" s="582"/>
      <c r="AWE6" s="582"/>
      <c r="AWF6" s="582"/>
      <c r="AWG6" s="582"/>
      <c r="AWH6" s="582"/>
      <c r="AWI6" s="582"/>
      <c r="AWJ6" s="582"/>
      <c r="AWK6" s="582"/>
      <c r="AWL6" s="582"/>
      <c r="AWM6" s="582"/>
      <c r="AWN6" s="582"/>
      <c r="AWO6" s="582"/>
      <c r="AWP6" s="582"/>
      <c r="AWQ6" s="582"/>
      <c r="AWR6" s="582"/>
      <c r="AWS6" s="582"/>
      <c r="AWT6" s="582"/>
      <c r="AWU6" s="582"/>
      <c r="AWV6" s="582"/>
      <c r="AWW6" s="582"/>
      <c r="AWX6" s="582"/>
      <c r="AWY6" s="582"/>
      <c r="AWZ6" s="582"/>
      <c r="AXA6" s="582"/>
      <c r="AXB6" s="582"/>
      <c r="AXC6" s="582"/>
      <c r="AXD6" s="582"/>
      <c r="AXE6" s="582"/>
      <c r="AXF6" s="582"/>
      <c r="AXG6" s="582"/>
      <c r="AXH6" s="582"/>
      <c r="AXI6" s="582"/>
      <c r="AXJ6" s="582"/>
      <c r="AXK6" s="582"/>
      <c r="AXL6" s="582"/>
      <c r="AXM6" s="582"/>
      <c r="AXN6" s="582"/>
      <c r="AXO6" s="582"/>
      <c r="AXP6" s="582"/>
      <c r="AXQ6" s="582"/>
      <c r="AXR6" s="582"/>
      <c r="AXS6" s="582"/>
      <c r="AXT6" s="582"/>
      <c r="AXU6" s="582"/>
      <c r="AXV6" s="582"/>
      <c r="AXW6" s="582"/>
      <c r="AXX6" s="582"/>
      <c r="AXY6" s="582"/>
      <c r="AXZ6" s="582"/>
      <c r="AYA6" s="582"/>
      <c r="AYB6" s="582"/>
      <c r="AYC6" s="582"/>
      <c r="AYD6" s="582"/>
      <c r="AYE6" s="582"/>
      <c r="AYF6" s="582"/>
      <c r="AYG6" s="582"/>
      <c r="AYH6" s="582"/>
      <c r="AYI6" s="582"/>
      <c r="AYJ6" s="582"/>
      <c r="AYK6" s="582"/>
      <c r="AYL6" s="582"/>
      <c r="AYM6" s="582"/>
      <c r="AYN6" s="582"/>
      <c r="AYO6" s="582"/>
      <c r="AYP6" s="582"/>
      <c r="AYQ6" s="582"/>
      <c r="AYR6" s="582"/>
      <c r="AYS6" s="582"/>
      <c r="AYT6" s="582"/>
      <c r="AYU6" s="582"/>
      <c r="AYV6" s="582"/>
      <c r="AYW6" s="582"/>
      <c r="AYX6" s="582"/>
      <c r="AYY6" s="582"/>
      <c r="AYZ6" s="582"/>
      <c r="AZA6" s="582"/>
      <c r="AZB6" s="582"/>
      <c r="AZC6" s="582"/>
      <c r="AZD6" s="582"/>
      <c r="AZE6" s="582"/>
      <c r="AZF6" s="582"/>
      <c r="AZG6" s="582"/>
      <c r="AZH6" s="582"/>
      <c r="AZI6" s="582"/>
      <c r="AZJ6" s="582"/>
      <c r="AZK6" s="582"/>
      <c r="AZL6" s="582"/>
      <c r="AZM6" s="582"/>
      <c r="AZN6" s="582"/>
      <c r="AZO6" s="582"/>
      <c r="AZP6" s="582"/>
      <c r="AZQ6" s="582"/>
      <c r="AZR6" s="582"/>
      <c r="AZS6" s="582"/>
      <c r="AZT6" s="582"/>
      <c r="AZU6" s="582"/>
      <c r="AZV6" s="582"/>
      <c r="AZW6" s="582"/>
      <c r="AZX6" s="582"/>
      <c r="AZY6" s="582"/>
      <c r="AZZ6" s="582"/>
      <c r="BAA6" s="582"/>
      <c r="BAB6" s="582"/>
      <c r="BAC6" s="582"/>
      <c r="BAD6" s="582"/>
      <c r="BAE6" s="582"/>
      <c r="BAF6" s="582"/>
      <c r="BAG6" s="582"/>
      <c r="BAH6" s="582"/>
      <c r="BAI6" s="582"/>
      <c r="BAJ6" s="582"/>
      <c r="BAK6" s="582"/>
      <c r="BAL6" s="582"/>
      <c r="BAM6" s="582"/>
      <c r="BAN6" s="582"/>
      <c r="BAO6" s="582"/>
      <c r="BAP6" s="582"/>
      <c r="BAQ6" s="582"/>
      <c r="BAR6" s="582"/>
      <c r="BAS6" s="582"/>
      <c r="BAT6" s="582"/>
      <c r="BAU6" s="582"/>
      <c r="BAV6" s="582"/>
      <c r="BAW6" s="582"/>
      <c r="BAX6" s="582"/>
      <c r="BAY6" s="582"/>
      <c r="BAZ6" s="582"/>
      <c r="BBA6" s="582"/>
      <c r="BBB6" s="582"/>
      <c r="BBC6" s="582"/>
      <c r="BBD6" s="582"/>
      <c r="BBE6" s="582"/>
      <c r="BBF6" s="582"/>
      <c r="BBG6" s="582"/>
      <c r="BBH6" s="582"/>
      <c r="BBI6" s="582"/>
      <c r="BBJ6" s="582"/>
      <c r="BBK6" s="582"/>
      <c r="BBL6" s="582"/>
      <c r="BBM6" s="582"/>
      <c r="BBN6" s="582"/>
      <c r="BBO6" s="582"/>
      <c r="BBP6" s="582"/>
      <c r="BBQ6" s="582"/>
      <c r="BBR6" s="582"/>
      <c r="BBS6" s="582"/>
      <c r="BBT6" s="582"/>
      <c r="BBU6" s="582"/>
      <c r="BBV6" s="582"/>
      <c r="BBW6" s="582"/>
      <c r="BBX6" s="582"/>
      <c r="BBY6" s="582"/>
      <c r="BBZ6" s="582"/>
      <c r="BCA6" s="582"/>
      <c r="BCB6" s="582"/>
      <c r="BCC6" s="582"/>
      <c r="BCD6" s="582"/>
      <c r="BCE6" s="582"/>
      <c r="BCF6" s="582"/>
      <c r="BCG6" s="582"/>
      <c r="BCH6" s="582"/>
      <c r="BCI6" s="582"/>
      <c r="BCJ6" s="582"/>
      <c r="BCK6" s="582"/>
      <c r="BCL6" s="582"/>
      <c r="BCM6" s="582"/>
      <c r="BCN6" s="582"/>
      <c r="BCO6" s="582"/>
      <c r="BCP6" s="582"/>
      <c r="BCQ6" s="582"/>
      <c r="BCR6" s="582"/>
      <c r="BCS6" s="582"/>
      <c r="BCT6" s="582"/>
      <c r="BCU6" s="582"/>
      <c r="BCV6" s="582"/>
      <c r="BCW6" s="582"/>
      <c r="BCX6" s="582"/>
      <c r="BCY6" s="582"/>
      <c r="BCZ6" s="582"/>
      <c r="BDA6" s="582"/>
      <c r="BDB6" s="582"/>
      <c r="BDC6" s="582"/>
      <c r="BDD6" s="582"/>
      <c r="BDE6" s="582"/>
      <c r="BDF6" s="582"/>
      <c r="BDG6" s="582"/>
      <c r="BDH6" s="582"/>
      <c r="BDI6" s="582"/>
      <c r="BDJ6" s="582"/>
      <c r="BDK6" s="582"/>
      <c r="BDL6" s="582"/>
      <c r="BDM6" s="582"/>
      <c r="BDN6" s="582"/>
      <c r="BDO6" s="582"/>
      <c r="BDP6" s="582"/>
      <c r="BDQ6" s="582"/>
      <c r="BDR6" s="582"/>
      <c r="BDS6" s="582"/>
      <c r="BDT6" s="582"/>
      <c r="BDU6" s="582"/>
      <c r="BDV6" s="582"/>
      <c r="BDW6" s="582"/>
      <c r="BDX6" s="582"/>
      <c r="BDY6" s="582"/>
      <c r="BDZ6" s="582"/>
      <c r="BEA6" s="582"/>
      <c r="BEB6" s="582"/>
      <c r="BEC6" s="582"/>
      <c r="BED6" s="582"/>
      <c r="BEE6" s="582"/>
      <c r="BEF6" s="582"/>
      <c r="BEG6" s="582"/>
      <c r="BEH6" s="582"/>
      <c r="BEI6" s="582"/>
      <c r="BEJ6" s="582"/>
      <c r="BEK6" s="582"/>
      <c r="BEL6" s="582"/>
      <c r="BEM6" s="582"/>
      <c r="BEN6" s="582"/>
      <c r="BEO6" s="582"/>
      <c r="BEP6" s="582"/>
      <c r="BEQ6" s="582"/>
      <c r="BER6" s="582"/>
      <c r="BES6" s="582"/>
      <c r="BET6" s="582"/>
      <c r="BEU6" s="582"/>
      <c r="BEV6" s="582"/>
      <c r="BEW6" s="582"/>
      <c r="BEX6" s="582"/>
      <c r="BEY6" s="582"/>
      <c r="BEZ6" s="582"/>
      <c r="BFA6" s="582"/>
      <c r="BFB6" s="582"/>
      <c r="BFC6" s="582"/>
      <c r="BFD6" s="582"/>
      <c r="BFE6" s="582"/>
      <c r="BFF6" s="582"/>
      <c r="BFG6" s="582"/>
      <c r="BFH6" s="582"/>
      <c r="BFI6" s="582"/>
      <c r="BFJ6" s="582"/>
      <c r="BFK6" s="582"/>
      <c r="BFL6" s="582"/>
      <c r="BFM6" s="582"/>
      <c r="BFN6" s="582"/>
      <c r="BFO6" s="582"/>
      <c r="BFP6" s="582"/>
      <c r="BFQ6" s="582"/>
      <c r="BFR6" s="582"/>
      <c r="BFS6" s="582"/>
      <c r="BFT6" s="582"/>
      <c r="BFU6" s="582"/>
      <c r="BFV6" s="582"/>
      <c r="BFW6" s="582"/>
      <c r="BFX6" s="582"/>
      <c r="BFY6" s="582"/>
      <c r="BFZ6" s="582"/>
      <c r="BGA6" s="582"/>
      <c r="BGB6" s="582"/>
      <c r="BGC6" s="582"/>
      <c r="BGD6" s="582"/>
      <c r="BGE6" s="582"/>
      <c r="BGF6" s="582"/>
      <c r="BGG6" s="582"/>
      <c r="BGH6" s="582"/>
      <c r="BGI6" s="582"/>
      <c r="BGJ6" s="582"/>
      <c r="BGK6" s="582"/>
      <c r="BGL6" s="582"/>
      <c r="BGM6" s="582"/>
      <c r="BGN6" s="582"/>
      <c r="BGO6" s="582"/>
      <c r="BGP6" s="582"/>
      <c r="BGQ6" s="582"/>
      <c r="BGR6" s="582"/>
      <c r="BGS6" s="582"/>
      <c r="BGT6" s="582"/>
      <c r="BGU6" s="582"/>
      <c r="BGV6" s="582"/>
      <c r="BGW6" s="582"/>
      <c r="BGX6" s="582"/>
      <c r="BGY6" s="582"/>
      <c r="BGZ6" s="582"/>
      <c r="BHA6" s="582"/>
      <c r="BHB6" s="582"/>
      <c r="BHC6" s="582"/>
      <c r="BHD6" s="582"/>
      <c r="BHE6" s="582"/>
      <c r="BHF6" s="582"/>
      <c r="BHG6" s="582"/>
      <c r="BHH6" s="582"/>
      <c r="BHI6" s="582"/>
      <c r="BHJ6" s="582"/>
      <c r="BHK6" s="582"/>
      <c r="BHL6" s="582"/>
      <c r="BHM6" s="582"/>
      <c r="BHN6" s="582"/>
      <c r="BHO6" s="582"/>
      <c r="BHP6" s="582"/>
      <c r="BHQ6" s="582"/>
      <c r="BHR6" s="582"/>
      <c r="BHS6" s="582"/>
      <c r="BHT6" s="582"/>
      <c r="BHU6" s="582"/>
      <c r="BHV6" s="582"/>
      <c r="BHW6" s="582"/>
      <c r="BHX6" s="582"/>
      <c r="BHY6" s="582"/>
      <c r="BHZ6" s="582"/>
      <c r="BIA6" s="582"/>
      <c r="BIB6" s="582"/>
      <c r="BIC6" s="582"/>
      <c r="BID6" s="582"/>
      <c r="BIE6" s="582"/>
      <c r="BIF6" s="582"/>
      <c r="BIG6" s="582"/>
      <c r="BIH6" s="582"/>
      <c r="BII6" s="582"/>
      <c r="BIJ6" s="582"/>
      <c r="BIK6" s="582"/>
      <c r="BIL6" s="582"/>
      <c r="BIM6" s="582"/>
      <c r="BIN6" s="582"/>
      <c r="BIO6" s="582"/>
      <c r="BIP6" s="582"/>
      <c r="BIQ6" s="582"/>
      <c r="BIR6" s="582"/>
      <c r="BIS6" s="582"/>
      <c r="BIT6" s="582"/>
      <c r="BIU6" s="582"/>
      <c r="BIV6" s="582"/>
      <c r="BIW6" s="582"/>
      <c r="BIX6" s="582"/>
      <c r="BIY6" s="582"/>
      <c r="BIZ6" s="582"/>
      <c r="BJA6" s="582"/>
      <c r="BJB6" s="582"/>
      <c r="BJC6" s="582"/>
      <c r="BJD6" s="582"/>
      <c r="BJE6" s="582"/>
      <c r="BJF6" s="582"/>
      <c r="BJG6" s="582"/>
      <c r="BJH6" s="582"/>
      <c r="BJI6" s="582"/>
      <c r="BJJ6" s="582"/>
      <c r="BJK6" s="582"/>
      <c r="BJL6" s="582"/>
      <c r="BJM6" s="582"/>
      <c r="BJN6" s="582"/>
      <c r="BJO6" s="582"/>
      <c r="BJP6" s="582"/>
      <c r="BJQ6" s="582"/>
      <c r="BJR6" s="582"/>
      <c r="BJS6" s="582"/>
      <c r="BJT6" s="582"/>
      <c r="BJU6" s="582"/>
      <c r="BJV6" s="582"/>
      <c r="BJW6" s="582"/>
      <c r="BJX6" s="582"/>
      <c r="BJY6" s="582"/>
      <c r="BJZ6" s="582"/>
      <c r="BKA6" s="582"/>
      <c r="BKB6" s="582"/>
      <c r="BKC6" s="582"/>
      <c r="BKD6" s="582"/>
      <c r="BKE6" s="582"/>
      <c r="BKF6" s="582"/>
      <c r="BKG6" s="582"/>
      <c r="BKH6" s="582"/>
      <c r="BKI6" s="582"/>
      <c r="BKJ6" s="582"/>
      <c r="BKK6" s="582"/>
      <c r="BKL6" s="582"/>
      <c r="BKM6" s="582"/>
      <c r="BKN6" s="582"/>
      <c r="BKO6" s="582"/>
      <c r="BKP6" s="582"/>
      <c r="BKQ6" s="582"/>
      <c r="BKR6" s="582"/>
      <c r="BKS6" s="582"/>
      <c r="BKT6" s="582"/>
      <c r="BKU6" s="582"/>
      <c r="BKV6" s="582"/>
      <c r="BKW6" s="582"/>
      <c r="BKX6" s="582"/>
      <c r="BKY6" s="582"/>
      <c r="BKZ6" s="582"/>
      <c r="BLA6" s="582"/>
      <c r="BLB6" s="582"/>
      <c r="BLC6" s="582"/>
      <c r="BLD6" s="582"/>
      <c r="BLE6" s="582"/>
      <c r="BLF6" s="582"/>
      <c r="BLG6" s="582"/>
      <c r="BLH6" s="582"/>
      <c r="BLI6" s="582"/>
      <c r="BLJ6" s="582"/>
      <c r="BLK6" s="582"/>
      <c r="BLL6" s="582"/>
      <c r="BLM6" s="582"/>
      <c r="BLN6" s="582"/>
      <c r="BLO6" s="582"/>
      <c r="BLP6" s="582"/>
      <c r="BLQ6" s="582"/>
      <c r="BLR6" s="582"/>
      <c r="BLS6" s="582"/>
      <c r="BLT6" s="582"/>
      <c r="BLU6" s="582"/>
      <c r="BLV6" s="582"/>
      <c r="BLW6" s="582"/>
      <c r="BLX6" s="582"/>
      <c r="BLY6" s="582"/>
      <c r="BLZ6" s="582"/>
      <c r="BMA6" s="582"/>
      <c r="BMB6" s="582"/>
      <c r="BMC6" s="582"/>
      <c r="BMD6" s="582"/>
      <c r="BME6" s="582"/>
      <c r="BMF6" s="582"/>
      <c r="BMG6" s="582"/>
      <c r="BMH6" s="582"/>
      <c r="BMI6" s="582"/>
      <c r="BMJ6" s="582"/>
      <c r="BMK6" s="582"/>
      <c r="BML6" s="582"/>
      <c r="BMM6" s="582"/>
      <c r="BMN6" s="582"/>
      <c r="BMO6" s="582"/>
      <c r="BMP6" s="582"/>
      <c r="BMQ6" s="582"/>
      <c r="BMR6" s="582"/>
      <c r="BMS6" s="582"/>
      <c r="BMT6" s="582"/>
      <c r="BMU6" s="582"/>
      <c r="BMV6" s="582"/>
      <c r="BMW6" s="582"/>
      <c r="BMX6" s="582"/>
      <c r="BMY6" s="582"/>
      <c r="BMZ6" s="582"/>
      <c r="BNA6" s="582"/>
      <c r="BNB6" s="582"/>
      <c r="BNC6" s="582"/>
      <c r="BND6" s="582"/>
      <c r="BNE6" s="582"/>
      <c r="BNF6" s="582"/>
      <c r="BNG6" s="582"/>
      <c r="BNH6" s="582"/>
      <c r="BNI6" s="582"/>
      <c r="BNJ6" s="582"/>
      <c r="BNK6" s="582"/>
      <c r="BNL6" s="582"/>
      <c r="BNM6" s="582"/>
      <c r="BNN6" s="582"/>
      <c r="BNO6" s="582"/>
      <c r="BNP6" s="582"/>
      <c r="BNQ6" s="582"/>
      <c r="BNR6" s="582"/>
      <c r="BNS6" s="582"/>
      <c r="BNT6" s="582"/>
      <c r="BNU6" s="582"/>
      <c r="BNV6" s="582"/>
      <c r="BNW6" s="582"/>
      <c r="BNX6" s="582"/>
      <c r="BNY6" s="582"/>
      <c r="BNZ6" s="582"/>
      <c r="BOA6" s="582"/>
      <c r="BOB6" s="582"/>
      <c r="BOC6" s="582"/>
      <c r="BOD6" s="582"/>
      <c r="BOE6" s="582"/>
      <c r="BOF6" s="582"/>
      <c r="BOG6" s="582"/>
      <c r="BOH6" s="582"/>
      <c r="BOI6" s="582"/>
      <c r="BOJ6" s="582"/>
      <c r="BOK6" s="582"/>
      <c r="BOL6" s="582"/>
      <c r="BOM6" s="582"/>
      <c r="BON6" s="582"/>
      <c r="BOO6" s="582"/>
      <c r="BOP6" s="582"/>
      <c r="BOQ6" s="582"/>
      <c r="BOR6" s="582"/>
      <c r="BOS6" s="582"/>
      <c r="BOT6" s="582"/>
      <c r="BOU6" s="582"/>
      <c r="BOV6" s="582"/>
      <c r="BOW6" s="582"/>
      <c r="BOX6" s="582"/>
      <c r="BOY6" s="582"/>
      <c r="BOZ6" s="582"/>
      <c r="BPA6" s="582"/>
      <c r="BPB6" s="582"/>
      <c r="BPC6" s="582"/>
      <c r="BPD6" s="582"/>
      <c r="BPE6" s="582"/>
      <c r="BPF6" s="582"/>
      <c r="BPG6" s="582"/>
      <c r="BPH6" s="582"/>
      <c r="BPI6" s="582"/>
      <c r="BPJ6" s="582"/>
      <c r="BPK6" s="582"/>
      <c r="BPL6" s="582"/>
      <c r="BPM6" s="582"/>
      <c r="BPN6" s="582"/>
      <c r="BPO6" s="582"/>
      <c r="BPP6" s="582"/>
      <c r="BPQ6" s="582"/>
      <c r="BPR6" s="582"/>
      <c r="BPS6" s="582"/>
      <c r="BPT6" s="582"/>
      <c r="BPU6" s="582"/>
      <c r="BPV6" s="582"/>
      <c r="BPW6" s="582"/>
      <c r="BPX6" s="582"/>
      <c r="BPY6" s="582"/>
      <c r="BPZ6" s="582"/>
      <c r="BQA6" s="582"/>
      <c r="BQB6" s="582"/>
      <c r="BQC6" s="582"/>
      <c r="BQD6" s="582"/>
      <c r="BQE6" s="582"/>
      <c r="BQF6" s="582"/>
      <c r="BQG6" s="582"/>
      <c r="BQH6" s="582"/>
      <c r="BQI6" s="582"/>
      <c r="BQJ6" s="582"/>
      <c r="BQK6" s="582"/>
      <c r="BQL6" s="582"/>
      <c r="BQM6" s="582"/>
      <c r="BQN6" s="582"/>
      <c r="BQO6" s="582"/>
      <c r="BQP6" s="582"/>
      <c r="BQQ6" s="582"/>
      <c r="BQR6" s="582"/>
      <c r="BQS6" s="582"/>
      <c r="BQT6" s="582"/>
      <c r="BQU6" s="582"/>
      <c r="BQV6" s="582"/>
      <c r="BQW6" s="582"/>
      <c r="BQX6" s="582"/>
      <c r="BQY6" s="582"/>
      <c r="BQZ6" s="582"/>
      <c r="BRA6" s="582"/>
      <c r="BRB6" s="582"/>
      <c r="BRC6" s="582"/>
      <c r="BRD6" s="582"/>
      <c r="BRE6" s="582"/>
      <c r="BRF6" s="582"/>
      <c r="BRG6" s="582"/>
      <c r="BRH6" s="582"/>
      <c r="BRI6" s="582"/>
      <c r="BRJ6" s="582"/>
      <c r="BRK6" s="582"/>
      <c r="BRL6" s="582"/>
      <c r="BRM6" s="582"/>
      <c r="BRN6" s="582"/>
      <c r="BRO6" s="582"/>
      <c r="BRP6" s="582"/>
      <c r="BRQ6" s="582"/>
      <c r="BRR6" s="582"/>
      <c r="BRS6" s="582"/>
      <c r="BRT6" s="582"/>
      <c r="BRU6" s="582"/>
      <c r="BRV6" s="582"/>
      <c r="BRW6" s="582"/>
      <c r="BRX6" s="582"/>
      <c r="BRY6" s="582"/>
      <c r="BRZ6" s="582"/>
      <c r="BSA6" s="582"/>
      <c r="BSB6" s="582"/>
      <c r="BSC6" s="582"/>
      <c r="BSD6" s="582"/>
      <c r="BSE6" s="582"/>
      <c r="BSF6" s="582"/>
      <c r="BSG6" s="582"/>
      <c r="BSH6" s="582"/>
      <c r="BSI6" s="582"/>
      <c r="BSJ6" s="582"/>
      <c r="BSK6" s="582"/>
      <c r="BSL6" s="582"/>
      <c r="BSM6" s="582"/>
      <c r="BSN6" s="582"/>
      <c r="BSO6" s="582"/>
      <c r="BSP6" s="582"/>
      <c r="BSQ6" s="582"/>
      <c r="BSR6" s="582"/>
      <c r="BSS6" s="582"/>
      <c r="BST6" s="582"/>
      <c r="BSU6" s="582"/>
      <c r="BSV6" s="582"/>
      <c r="BSW6" s="582"/>
      <c r="BSX6" s="582"/>
      <c r="BSY6" s="582"/>
      <c r="BSZ6" s="582"/>
      <c r="BTA6" s="582"/>
      <c r="BTB6" s="582"/>
      <c r="BTC6" s="582"/>
      <c r="BTD6" s="582"/>
      <c r="BTE6" s="582"/>
      <c r="BTF6" s="582"/>
      <c r="BTG6" s="582"/>
      <c r="BTH6" s="582"/>
      <c r="BTI6" s="582"/>
      <c r="BTJ6" s="582"/>
      <c r="BTK6" s="582"/>
      <c r="BTL6" s="582"/>
      <c r="BTM6" s="582"/>
      <c r="BTN6" s="582"/>
      <c r="BTO6" s="582"/>
      <c r="BTP6" s="582"/>
      <c r="BTQ6" s="582"/>
      <c r="BTR6" s="582"/>
      <c r="BTS6" s="582"/>
      <c r="BTT6" s="582"/>
      <c r="BTU6" s="582"/>
      <c r="BTV6" s="582"/>
      <c r="BTW6" s="582"/>
      <c r="BTX6" s="582"/>
      <c r="BTY6" s="582"/>
      <c r="BTZ6" s="582"/>
      <c r="BUA6" s="582"/>
      <c r="BUB6" s="582"/>
      <c r="BUC6" s="582"/>
      <c r="BUD6" s="582"/>
      <c r="BUE6" s="582"/>
      <c r="BUF6" s="582"/>
      <c r="BUG6" s="582"/>
      <c r="BUH6" s="582"/>
      <c r="BUI6" s="582"/>
      <c r="BUJ6" s="582"/>
      <c r="BUK6" s="582"/>
      <c r="BUL6" s="582"/>
      <c r="BUM6" s="582"/>
      <c r="BUN6" s="582"/>
      <c r="BUO6" s="582"/>
      <c r="BUP6" s="582"/>
      <c r="BUQ6" s="582"/>
      <c r="BUR6" s="582"/>
      <c r="BUS6" s="582"/>
      <c r="BUT6" s="582"/>
      <c r="BUU6" s="582"/>
      <c r="BUV6" s="582"/>
      <c r="BUW6" s="582"/>
      <c r="BUX6" s="582"/>
      <c r="BUY6" s="582"/>
      <c r="BUZ6" s="582"/>
      <c r="BVA6" s="582"/>
      <c r="BVB6" s="582"/>
      <c r="BVC6" s="582"/>
      <c r="BVD6" s="582"/>
      <c r="BVE6" s="582"/>
      <c r="BVF6" s="582"/>
      <c r="BVG6" s="582"/>
      <c r="BVH6" s="582"/>
      <c r="BVI6" s="582"/>
      <c r="BVJ6" s="582"/>
      <c r="BVK6" s="582"/>
      <c r="BVL6" s="582"/>
      <c r="BVM6" s="582"/>
      <c r="BVN6" s="582"/>
      <c r="BVO6" s="582"/>
      <c r="BVP6" s="582"/>
      <c r="BVQ6" s="582"/>
      <c r="BVR6" s="582"/>
      <c r="BVS6" s="582"/>
      <c r="BVT6" s="582"/>
      <c r="BVU6" s="582"/>
      <c r="BVV6" s="582"/>
      <c r="BVW6" s="582"/>
      <c r="BVX6" s="582"/>
      <c r="BVY6" s="582"/>
      <c r="BVZ6" s="582"/>
      <c r="BWA6" s="582"/>
      <c r="BWB6" s="582"/>
      <c r="BWC6" s="582"/>
      <c r="BWD6" s="582"/>
      <c r="BWE6" s="582"/>
      <c r="BWF6" s="582"/>
      <c r="BWG6" s="582"/>
      <c r="BWH6" s="582"/>
      <c r="BWI6" s="582"/>
      <c r="BWJ6" s="582"/>
      <c r="BWK6" s="582"/>
      <c r="BWL6" s="582"/>
      <c r="BWM6" s="582"/>
      <c r="BWN6" s="582"/>
      <c r="BWO6" s="582"/>
      <c r="BWP6" s="582"/>
      <c r="BWQ6" s="582"/>
      <c r="BWR6" s="582"/>
      <c r="BWS6" s="582"/>
      <c r="BWT6" s="582"/>
      <c r="BWU6" s="582"/>
      <c r="BWV6" s="582"/>
      <c r="BWW6" s="582"/>
      <c r="BWX6" s="582"/>
      <c r="BWY6" s="582"/>
      <c r="BWZ6" s="582"/>
      <c r="BXA6" s="582"/>
      <c r="BXB6" s="582"/>
      <c r="BXC6" s="582"/>
      <c r="BXD6" s="582"/>
      <c r="BXE6" s="582"/>
      <c r="BXF6" s="582"/>
      <c r="BXG6" s="582"/>
      <c r="BXH6" s="582"/>
      <c r="BXI6" s="582"/>
      <c r="BXJ6" s="582"/>
      <c r="BXK6" s="582"/>
      <c r="BXL6" s="582"/>
      <c r="BXM6" s="582"/>
      <c r="BXN6" s="582"/>
      <c r="BXO6" s="582"/>
      <c r="BXP6" s="582"/>
      <c r="BXQ6" s="582"/>
      <c r="BXR6" s="582"/>
      <c r="BXS6" s="582"/>
      <c r="BXT6" s="582"/>
      <c r="BXU6" s="582"/>
      <c r="BXV6" s="582"/>
      <c r="BXW6" s="582"/>
      <c r="BXX6" s="582"/>
      <c r="BXY6" s="582"/>
      <c r="BXZ6" s="582"/>
      <c r="BYA6" s="582"/>
      <c r="BYB6" s="582"/>
      <c r="BYC6" s="582"/>
      <c r="BYD6" s="582"/>
      <c r="BYE6" s="582"/>
      <c r="BYF6" s="582"/>
      <c r="BYG6" s="582"/>
      <c r="BYH6" s="582"/>
      <c r="BYI6" s="582"/>
      <c r="BYJ6" s="582"/>
      <c r="BYK6" s="582"/>
      <c r="BYL6" s="582"/>
      <c r="BYM6" s="582"/>
      <c r="BYN6" s="582"/>
      <c r="BYO6" s="582"/>
      <c r="BYP6" s="582"/>
      <c r="BYQ6" s="582"/>
      <c r="BYR6" s="582"/>
      <c r="BYS6" s="582"/>
      <c r="BYT6" s="582"/>
      <c r="BYU6" s="582"/>
      <c r="BYV6" s="582"/>
      <c r="BYW6" s="582"/>
      <c r="BYX6" s="582"/>
      <c r="BYY6" s="582"/>
      <c r="BYZ6" s="582"/>
      <c r="BZA6" s="582"/>
      <c r="BZB6" s="582"/>
      <c r="BZC6" s="582"/>
      <c r="BZD6" s="582"/>
      <c r="BZE6" s="582"/>
      <c r="BZF6" s="582"/>
      <c r="BZG6" s="582"/>
      <c r="BZH6" s="582"/>
      <c r="BZI6" s="582"/>
      <c r="BZJ6" s="582"/>
      <c r="BZK6" s="582"/>
      <c r="BZL6" s="582"/>
      <c r="BZM6" s="582"/>
      <c r="BZN6" s="582"/>
      <c r="BZO6" s="582"/>
      <c r="BZP6" s="582"/>
      <c r="BZQ6" s="582"/>
      <c r="BZR6" s="582"/>
      <c r="BZS6" s="582"/>
      <c r="BZT6" s="582"/>
      <c r="BZU6" s="582"/>
      <c r="BZV6" s="582"/>
      <c r="BZW6" s="582"/>
      <c r="BZX6" s="582"/>
      <c r="BZY6" s="582"/>
      <c r="BZZ6" s="582"/>
      <c r="CAA6" s="582"/>
      <c r="CAB6" s="582"/>
      <c r="CAC6" s="582"/>
      <c r="CAD6" s="582"/>
      <c r="CAE6" s="582"/>
      <c r="CAF6" s="582"/>
      <c r="CAG6" s="582"/>
      <c r="CAH6" s="582"/>
      <c r="CAI6" s="582"/>
      <c r="CAJ6" s="582"/>
      <c r="CAK6" s="582"/>
      <c r="CAL6" s="582"/>
      <c r="CAM6" s="582"/>
      <c r="CAN6" s="582"/>
      <c r="CAO6" s="582"/>
      <c r="CAP6" s="582"/>
      <c r="CAQ6" s="582"/>
      <c r="CAR6" s="582"/>
      <c r="CAS6" s="582"/>
      <c r="CAT6" s="582"/>
      <c r="CAU6" s="582"/>
      <c r="CAV6" s="582"/>
      <c r="CAW6" s="582"/>
      <c r="CAX6" s="582"/>
      <c r="CAY6" s="582"/>
      <c r="CAZ6" s="582"/>
      <c r="CBA6" s="582"/>
      <c r="CBB6" s="582"/>
      <c r="CBC6" s="582"/>
      <c r="CBD6" s="582"/>
      <c r="CBE6" s="582"/>
      <c r="CBF6" s="582"/>
      <c r="CBG6" s="582"/>
      <c r="CBH6" s="582"/>
      <c r="CBI6" s="582"/>
      <c r="CBJ6" s="582"/>
      <c r="CBK6" s="582"/>
      <c r="CBL6" s="582"/>
      <c r="CBM6" s="582"/>
      <c r="CBN6" s="582"/>
      <c r="CBO6" s="582"/>
      <c r="CBP6" s="582"/>
      <c r="CBQ6" s="582"/>
      <c r="CBR6" s="582"/>
      <c r="CBS6" s="582"/>
      <c r="CBT6" s="582"/>
      <c r="CBU6" s="582"/>
      <c r="CBV6" s="582"/>
      <c r="CBW6" s="582"/>
      <c r="CBX6" s="582"/>
      <c r="CBY6" s="582"/>
      <c r="CBZ6" s="582"/>
      <c r="CCA6" s="582"/>
      <c r="CCB6" s="582"/>
      <c r="CCC6" s="582"/>
      <c r="CCD6" s="582"/>
      <c r="CCE6" s="582"/>
      <c r="CCF6" s="582"/>
      <c r="CCG6" s="582"/>
      <c r="CCH6" s="582"/>
      <c r="CCI6" s="582"/>
      <c r="CCJ6" s="582"/>
      <c r="CCK6" s="582"/>
      <c r="CCL6" s="582"/>
      <c r="CCM6" s="582"/>
      <c r="CCN6" s="582"/>
      <c r="CCO6" s="582"/>
      <c r="CCP6" s="582"/>
      <c r="CCQ6" s="582"/>
      <c r="CCR6" s="582"/>
      <c r="CCS6" s="582"/>
      <c r="CCT6" s="582"/>
      <c r="CCU6" s="582"/>
      <c r="CCV6" s="582"/>
      <c r="CCW6" s="582"/>
      <c r="CCX6" s="582"/>
      <c r="CCY6" s="582"/>
      <c r="CCZ6" s="582"/>
      <c r="CDA6" s="582"/>
      <c r="CDB6" s="582"/>
      <c r="CDC6" s="582"/>
      <c r="CDD6" s="582"/>
      <c r="CDE6" s="582"/>
      <c r="CDF6" s="582"/>
      <c r="CDG6" s="582"/>
      <c r="CDH6" s="582"/>
      <c r="CDI6" s="582"/>
      <c r="CDJ6" s="582"/>
      <c r="CDK6" s="582"/>
      <c r="CDL6" s="582"/>
      <c r="CDM6" s="582"/>
      <c r="CDN6" s="582"/>
      <c r="CDO6" s="582"/>
      <c r="CDP6" s="582"/>
      <c r="CDQ6" s="582"/>
      <c r="CDR6" s="582"/>
      <c r="CDS6" s="582"/>
      <c r="CDT6" s="582"/>
      <c r="CDU6" s="582"/>
      <c r="CDV6" s="582"/>
      <c r="CDW6" s="582"/>
      <c r="CDX6" s="582"/>
      <c r="CDY6" s="582"/>
      <c r="CDZ6" s="582"/>
      <c r="CEA6" s="582"/>
      <c r="CEB6" s="582"/>
      <c r="CEC6" s="582"/>
      <c r="CED6" s="582"/>
      <c r="CEE6" s="582"/>
      <c r="CEF6" s="582"/>
      <c r="CEG6" s="582"/>
      <c r="CEH6" s="582"/>
      <c r="CEI6" s="582"/>
      <c r="CEJ6" s="582"/>
      <c r="CEK6" s="582"/>
      <c r="CEL6" s="582"/>
      <c r="CEM6" s="582"/>
      <c r="CEN6" s="582"/>
      <c r="CEO6" s="582"/>
      <c r="CEP6" s="582"/>
      <c r="CEQ6" s="582"/>
      <c r="CER6" s="582"/>
      <c r="CES6" s="582"/>
      <c r="CET6" s="582"/>
      <c r="CEU6" s="582"/>
      <c r="CEV6" s="582"/>
      <c r="CEW6" s="582"/>
      <c r="CEX6" s="582"/>
      <c r="CEY6" s="582"/>
      <c r="CEZ6" s="582"/>
      <c r="CFA6" s="582"/>
      <c r="CFB6" s="582"/>
      <c r="CFC6" s="582"/>
      <c r="CFD6" s="582"/>
      <c r="CFE6" s="582"/>
      <c r="CFF6" s="582"/>
      <c r="CFG6" s="582"/>
      <c r="CFH6" s="582"/>
      <c r="CFI6" s="582"/>
      <c r="CFJ6" s="582"/>
      <c r="CFK6" s="582"/>
      <c r="CFL6" s="582"/>
      <c r="CFM6" s="582"/>
      <c r="CFN6" s="582"/>
      <c r="CFO6" s="582"/>
      <c r="CFP6" s="582"/>
      <c r="CFQ6" s="582"/>
      <c r="CFR6" s="582"/>
      <c r="CFS6" s="582"/>
      <c r="CFT6" s="582"/>
      <c r="CFU6" s="582"/>
      <c r="CFV6" s="582"/>
      <c r="CFW6" s="582"/>
      <c r="CFX6" s="582"/>
      <c r="CFY6" s="582"/>
      <c r="CFZ6" s="582"/>
      <c r="CGA6" s="582"/>
      <c r="CGB6" s="582"/>
      <c r="CGC6" s="582"/>
      <c r="CGD6" s="582"/>
      <c r="CGE6" s="582"/>
      <c r="CGF6" s="582"/>
      <c r="CGG6" s="582"/>
      <c r="CGH6" s="582"/>
      <c r="CGI6" s="582"/>
      <c r="CGJ6" s="582"/>
      <c r="CGK6" s="582"/>
      <c r="CGL6" s="582"/>
      <c r="CGM6" s="582"/>
      <c r="CGN6" s="582"/>
      <c r="CGO6" s="582"/>
      <c r="CGP6" s="582"/>
      <c r="CGQ6" s="582"/>
      <c r="CGR6" s="582"/>
      <c r="CGS6" s="582"/>
      <c r="CGT6" s="582"/>
      <c r="CGU6" s="582"/>
      <c r="CGV6" s="582"/>
      <c r="CGW6" s="582"/>
      <c r="CGX6" s="582"/>
      <c r="CGY6" s="582"/>
      <c r="CGZ6" s="582"/>
      <c r="CHA6" s="582"/>
      <c r="CHB6" s="582"/>
      <c r="CHC6" s="582"/>
      <c r="CHD6" s="582"/>
      <c r="CHE6" s="582"/>
      <c r="CHF6" s="582"/>
      <c r="CHG6" s="582"/>
      <c r="CHH6" s="582"/>
      <c r="CHI6" s="582"/>
      <c r="CHJ6" s="582"/>
      <c r="CHK6" s="582"/>
      <c r="CHL6" s="582"/>
      <c r="CHM6" s="582"/>
      <c r="CHN6" s="582"/>
      <c r="CHO6" s="582"/>
      <c r="CHP6" s="582"/>
      <c r="CHQ6" s="582"/>
      <c r="CHR6" s="582"/>
      <c r="CHS6" s="582"/>
      <c r="CHT6" s="582"/>
      <c r="CHU6" s="582"/>
      <c r="CHV6" s="582"/>
      <c r="CHW6" s="582"/>
      <c r="CHX6" s="582"/>
      <c r="CHY6" s="582"/>
      <c r="CHZ6" s="582"/>
      <c r="CIA6" s="582"/>
      <c r="CIB6" s="582"/>
      <c r="CIC6" s="582"/>
      <c r="CID6" s="582"/>
      <c r="CIE6" s="582"/>
      <c r="CIF6" s="582"/>
      <c r="CIG6" s="582"/>
      <c r="CIH6" s="582"/>
      <c r="CII6" s="582"/>
      <c r="CIJ6" s="582"/>
      <c r="CIK6" s="582"/>
      <c r="CIL6" s="582"/>
      <c r="CIM6" s="582"/>
      <c r="CIN6" s="582"/>
      <c r="CIO6" s="582"/>
      <c r="CIP6" s="582"/>
      <c r="CIQ6" s="582"/>
      <c r="CIR6" s="582"/>
      <c r="CIS6" s="582"/>
      <c r="CIT6" s="582"/>
      <c r="CIU6" s="582"/>
      <c r="CIV6" s="582"/>
      <c r="CIW6" s="582"/>
      <c r="CIX6" s="582"/>
      <c r="CIY6" s="582"/>
      <c r="CIZ6" s="582"/>
      <c r="CJA6" s="582"/>
      <c r="CJB6" s="582"/>
      <c r="CJC6" s="582"/>
      <c r="CJD6" s="582"/>
      <c r="CJE6" s="582"/>
      <c r="CJF6" s="582"/>
      <c r="CJG6" s="582"/>
      <c r="CJH6" s="582"/>
      <c r="CJI6" s="582"/>
      <c r="CJJ6" s="582"/>
      <c r="CJK6" s="582"/>
      <c r="CJL6" s="582"/>
      <c r="CJM6" s="582"/>
      <c r="CJN6" s="582"/>
      <c r="CJO6" s="582"/>
      <c r="CJP6" s="582"/>
      <c r="CJQ6" s="582"/>
      <c r="CJR6" s="582"/>
      <c r="CJS6" s="582"/>
      <c r="CJT6" s="582"/>
      <c r="CJU6" s="582"/>
      <c r="CJV6" s="582"/>
      <c r="CJW6" s="582"/>
      <c r="CJX6" s="582"/>
      <c r="CJY6" s="582"/>
      <c r="CJZ6" s="582"/>
      <c r="CKA6" s="582"/>
      <c r="CKB6" s="582"/>
      <c r="CKC6" s="582"/>
      <c r="CKD6" s="582"/>
      <c r="CKE6" s="582"/>
      <c r="CKF6" s="582"/>
      <c r="CKG6" s="582"/>
      <c r="CKH6" s="582"/>
      <c r="CKI6" s="582"/>
      <c r="CKJ6" s="582"/>
      <c r="CKK6" s="582"/>
      <c r="CKL6" s="582"/>
      <c r="CKM6" s="582"/>
      <c r="CKN6" s="582"/>
      <c r="CKO6" s="582"/>
      <c r="CKP6" s="582"/>
      <c r="CKQ6" s="582"/>
      <c r="CKR6" s="582"/>
      <c r="CKS6" s="582"/>
      <c r="CKT6" s="582"/>
      <c r="CKU6" s="582"/>
      <c r="CKV6" s="582"/>
      <c r="CKW6" s="582"/>
      <c r="CKX6" s="582"/>
      <c r="CKY6" s="582"/>
      <c r="CKZ6" s="582"/>
      <c r="CLA6" s="582"/>
      <c r="CLB6" s="582"/>
      <c r="CLC6" s="582"/>
      <c r="CLD6" s="582"/>
      <c r="CLE6" s="582"/>
      <c r="CLF6" s="582"/>
      <c r="CLG6" s="582"/>
      <c r="CLH6" s="582"/>
      <c r="CLI6" s="582"/>
      <c r="CLJ6" s="582"/>
      <c r="CLK6" s="582"/>
      <c r="CLL6" s="582"/>
      <c r="CLM6" s="582"/>
      <c r="CLN6" s="582"/>
      <c r="CLO6" s="582"/>
      <c r="CLP6" s="582"/>
      <c r="CLQ6" s="582"/>
      <c r="CLR6" s="582"/>
      <c r="CLS6" s="582"/>
      <c r="CLT6" s="582"/>
      <c r="CLU6" s="582"/>
      <c r="CLV6" s="582"/>
      <c r="CLW6" s="582"/>
      <c r="CLX6" s="582"/>
      <c r="CLY6" s="582"/>
      <c r="CLZ6" s="582"/>
      <c r="CMA6" s="582"/>
      <c r="CMB6" s="582"/>
      <c r="CMC6" s="582"/>
      <c r="CMD6" s="582"/>
      <c r="CME6" s="582"/>
      <c r="CMF6" s="582"/>
      <c r="CMG6" s="582"/>
      <c r="CMH6" s="582"/>
      <c r="CMI6" s="582"/>
      <c r="CMJ6" s="582"/>
      <c r="CMK6" s="582"/>
      <c r="CML6" s="582"/>
      <c r="CMM6" s="582"/>
      <c r="CMN6" s="582"/>
      <c r="CMO6" s="582"/>
      <c r="CMP6" s="582"/>
      <c r="CMQ6" s="582"/>
      <c r="CMR6" s="582"/>
      <c r="CMS6" s="582"/>
      <c r="CMT6" s="582"/>
      <c r="CMU6" s="582"/>
      <c r="CMV6" s="582"/>
      <c r="CMW6" s="582"/>
      <c r="CMX6" s="582"/>
      <c r="CMY6" s="582"/>
      <c r="CMZ6" s="582"/>
      <c r="CNA6" s="582"/>
      <c r="CNB6" s="582"/>
      <c r="CNC6" s="582"/>
      <c r="CND6" s="582"/>
      <c r="CNE6" s="582"/>
      <c r="CNF6" s="582"/>
      <c r="CNG6" s="582"/>
      <c r="CNH6" s="582"/>
      <c r="CNI6" s="582"/>
      <c r="CNJ6" s="582"/>
      <c r="CNK6" s="582"/>
      <c r="CNL6" s="582"/>
      <c r="CNM6" s="582"/>
      <c r="CNN6" s="582"/>
      <c r="CNO6" s="582"/>
      <c r="CNP6" s="582"/>
      <c r="CNQ6" s="582"/>
      <c r="CNR6" s="582"/>
      <c r="CNS6" s="582"/>
      <c r="CNT6" s="582"/>
      <c r="CNU6" s="582"/>
      <c r="CNV6" s="582"/>
      <c r="CNW6" s="582"/>
      <c r="CNX6" s="582"/>
      <c r="CNY6" s="582"/>
      <c r="CNZ6" s="582"/>
      <c r="COA6" s="582"/>
      <c r="COB6" s="582"/>
      <c r="COC6" s="582"/>
      <c r="COD6" s="582"/>
      <c r="COE6" s="582"/>
      <c r="COF6" s="582"/>
      <c r="COG6" s="582"/>
      <c r="COH6" s="582"/>
      <c r="COI6" s="582"/>
      <c r="COJ6" s="582"/>
      <c r="COK6" s="582"/>
      <c r="COL6" s="582"/>
      <c r="COM6" s="582"/>
      <c r="CON6" s="582"/>
      <c r="COO6" s="582"/>
      <c r="COP6" s="582"/>
      <c r="COQ6" s="582"/>
      <c r="COR6" s="582"/>
      <c r="COS6" s="582"/>
      <c r="COT6" s="582"/>
      <c r="COU6" s="582"/>
      <c r="COV6" s="582"/>
      <c r="COW6" s="582"/>
      <c r="COX6" s="582"/>
      <c r="COY6" s="582"/>
      <c r="COZ6" s="582"/>
      <c r="CPA6" s="582"/>
      <c r="CPB6" s="582"/>
      <c r="CPC6" s="582"/>
      <c r="CPD6" s="582"/>
      <c r="CPE6" s="582"/>
      <c r="CPF6" s="582"/>
      <c r="CPG6" s="582"/>
      <c r="CPH6" s="582"/>
      <c r="CPI6" s="582"/>
      <c r="CPJ6" s="582"/>
      <c r="CPK6" s="582"/>
      <c r="CPL6" s="582"/>
      <c r="CPM6" s="582"/>
      <c r="CPN6" s="582"/>
      <c r="CPO6" s="582"/>
      <c r="CPP6" s="582"/>
      <c r="CPQ6" s="582"/>
      <c r="CPR6" s="582"/>
      <c r="CPS6" s="582"/>
      <c r="CPT6" s="582"/>
      <c r="CPU6" s="582"/>
      <c r="CPV6" s="582"/>
      <c r="CPW6" s="582"/>
      <c r="CPX6" s="582"/>
      <c r="CPY6" s="582"/>
      <c r="CPZ6" s="582"/>
      <c r="CQA6" s="582"/>
      <c r="CQB6" s="582"/>
      <c r="CQC6" s="582"/>
      <c r="CQD6" s="582"/>
      <c r="CQE6" s="582"/>
      <c r="CQF6" s="582"/>
      <c r="CQG6" s="582"/>
      <c r="CQH6" s="582"/>
      <c r="CQI6" s="582"/>
      <c r="CQJ6" s="582"/>
      <c r="CQK6" s="582"/>
      <c r="CQL6" s="582"/>
      <c r="CQM6" s="582"/>
      <c r="CQN6" s="582"/>
      <c r="CQO6" s="582"/>
      <c r="CQP6" s="582"/>
      <c r="CQQ6" s="582"/>
      <c r="CQR6" s="582"/>
      <c r="CQS6" s="582"/>
      <c r="CQT6" s="582"/>
      <c r="CQU6" s="582"/>
      <c r="CQV6" s="582"/>
      <c r="CQW6" s="582"/>
      <c r="CQX6" s="582"/>
      <c r="CQY6" s="582"/>
      <c r="CQZ6" s="582"/>
      <c r="CRA6" s="582"/>
      <c r="CRB6" s="582"/>
      <c r="CRC6" s="582"/>
      <c r="CRD6" s="582"/>
      <c r="CRE6" s="582"/>
      <c r="CRF6" s="582"/>
      <c r="CRG6" s="582"/>
      <c r="CRH6" s="582"/>
      <c r="CRI6" s="582"/>
      <c r="CRJ6" s="582"/>
      <c r="CRK6" s="582"/>
      <c r="CRL6" s="582"/>
      <c r="CRM6" s="582"/>
      <c r="CRN6" s="582"/>
      <c r="CRO6" s="582"/>
      <c r="CRP6" s="582"/>
      <c r="CRQ6" s="582"/>
      <c r="CRR6" s="582"/>
      <c r="CRS6" s="582"/>
      <c r="CRT6" s="582"/>
      <c r="CRU6" s="582"/>
      <c r="CRV6" s="582"/>
      <c r="CRW6" s="582"/>
      <c r="CRX6" s="582"/>
      <c r="CRY6" s="582"/>
      <c r="CRZ6" s="582"/>
      <c r="CSA6" s="582"/>
      <c r="CSB6" s="582"/>
      <c r="CSC6" s="582"/>
      <c r="CSD6" s="582"/>
      <c r="CSE6" s="582"/>
      <c r="CSF6" s="582"/>
      <c r="CSG6" s="582"/>
      <c r="CSH6" s="582"/>
      <c r="CSI6" s="582"/>
      <c r="CSJ6" s="582"/>
      <c r="CSK6" s="582"/>
      <c r="CSL6" s="582"/>
      <c r="CSM6" s="582"/>
      <c r="CSN6" s="582"/>
      <c r="CSO6" s="582"/>
      <c r="CSP6" s="582"/>
      <c r="CSQ6" s="582"/>
      <c r="CSR6" s="582"/>
      <c r="CSS6" s="582"/>
      <c r="CST6" s="582"/>
      <c r="CSU6" s="582"/>
      <c r="CSV6" s="582"/>
      <c r="CSW6" s="582"/>
      <c r="CSX6" s="582"/>
      <c r="CSY6" s="582"/>
      <c r="CSZ6" s="582"/>
      <c r="CTA6" s="582"/>
      <c r="CTB6" s="582"/>
      <c r="CTC6" s="582"/>
      <c r="CTD6" s="582"/>
      <c r="CTE6" s="582"/>
      <c r="CTF6" s="582"/>
      <c r="CTG6" s="582"/>
      <c r="CTH6" s="582"/>
      <c r="CTI6" s="582"/>
      <c r="CTJ6" s="582"/>
      <c r="CTK6" s="582"/>
      <c r="CTL6" s="582"/>
      <c r="CTM6" s="582"/>
      <c r="CTN6" s="582"/>
      <c r="CTO6" s="582"/>
      <c r="CTP6" s="582"/>
      <c r="CTQ6" s="582"/>
      <c r="CTR6" s="582"/>
      <c r="CTS6" s="582"/>
      <c r="CTT6" s="582"/>
      <c r="CTU6" s="582"/>
      <c r="CTV6" s="582"/>
      <c r="CTW6" s="582"/>
      <c r="CTX6" s="582"/>
      <c r="CTY6" s="582"/>
      <c r="CTZ6" s="582"/>
      <c r="CUA6" s="582"/>
      <c r="CUB6" s="582"/>
      <c r="CUC6" s="582"/>
      <c r="CUD6" s="582"/>
      <c r="CUE6" s="582"/>
      <c r="CUF6" s="582"/>
      <c r="CUG6" s="582"/>
      <c r="CUH6" s="582"/>
      <c r="CUI6" s="582"/>
      <c r="CUJ6" s="582"/>
      <c r="CUK6" s="582"/>
      <c r="CUL6" s="582"/>
      <c r="CUM6" s="582"/>
      <c r="CUN6" s="582"/>
      <c r="CUO6" s="582"/>
      <c r="CUP6" s="582"/>
      <c r="CUQ6" s="582"/>
      <c r="CUR6" s="582"/>
      <c r="CUS6" s="582"/>
      <c r="CUT6" s="582"/>
      <c r="CUU6" s="582"/>
      <c r="CUV6" s="582"/>
      <c r="CUW6" s="582"/>
      <c r="CUX6" s="582"/>
      <c r="CUY6" s="582"/>
      <c r="CUZ6" s="582"/>
      <c r="CVA6" s="582"/>
      <c r="CVB6" s="582"/>
      <c r="CVC6" s="582"/>
      <c r="CVD6" s="582"/>
      <c r="CVE6" s="582"/>
      <c r="CVF6" s="582"/>
      <c r="CVG6" s="582"/>
      <c r="CVH6" s="582"/>
      <c r="CVI6" s="582"/>
      <c r="CVJ6" s="582"/>
      <c r="CVK6" s="582"/>
      <c r="CVL6" s="582"/>
      <c r="CVM6" s="582"/>
      <c r="CVN6" s="582"/>
      <c r="CVO6" s="582"/>
      <c r="CVP6" s="582"/>
      <c r="CVQ6" s="582"/>
      <c r="CVR6" s="582"/>
      <c r="CVS6" s="582"/>
      <c r="CVT6" s="582"/>
      <c r="CVU6" s="582"/>
      <c r="CVV6" s="582"/>
      <c r="CVW6" s="582"/>
      <c r="CVX6" s="582"/>
      <c r="CVY6" s="582"/>
      <c r="CVZ6" s="582"/>
      <c r="CWA6" s="582"/>
      <c r="CWB6" s="582"/>
      <c r="CWC6" s="582"/>
      <c r="CWD6" s="582"/>
      <c r="CWE6" s="582"/>
      <c r="CWF6" s="582"/>
      <c r="CWG6" s="582"/>
      <c r="CWH6" s="582"/>
      <c r="CWI6" s="582"/>
      <c r="CWJ6" s="582"/>
      <c r="CWK6" s="582"/>
      <c r="CWL6" s="582"/>
      <c r="CWM6" s="582"/>
      <c r="CWN6" s="582"/>
      <c r="CWO6" s="582"/>
      <c r="CWP6" s="582"/>
      <c r="CWQ6" s="582"/>
      <c r="CWR6" s="582"/>
      <c r="CWS6" s="582"/>
      <c r="CWT6" s="582"/>
      <c r="CWU6" s="582"/>
      <c r="CWV6" s="582"/>
      <c r="CWW6" s="582"/>
      <c r="CWX6" s="582"/>
      <c r="CWY6" s="582"/>
      <c r="CWZ6" s="582"/>
      <c r="CXA6" s="582"/>
      <c r="CXB6" s="582"/>
      <c r="CXC6" s="582"/>
      <c r="CXD6" s="582"/>
      <c r="CXE6" s="582"/>
      <c r="CXF6" s="582"/>
      <c r="CXG6" s="582"/>
      <c r="CXH6" s="582"/>
      <c r="CXI6" s="582"/>
      <c r="CXJ6" s="582"/>
      <c r="CXK6" s="582"/>
      <c r="CXL6" s="582"/>
      <c r="CXM6" s="582"/>
      <c r="CXN6" s="582"/>
      <c r="CXO6" s="582"/>
      <c r="CXP6" s="582"/>
      <c r="CXQ6" s="582"/>
      <c r="CXR6" s="582"/>
      <c r="CXS6" s="582"/>
      <c r="CXT6" s="582"/>
      <c r="CXU6" s="582"/>
      <c r="CXV6" s="582"/>
      <c r="CXW6" s="582"/>
      <c r="CXX6" s="582"/>
      <c r="CXY6" s="582"/>
      <c r="CXZ6" s="582"/>
      <c r="CYA6" s="582"/>
      <c r="CYB6" s="582"/>
      <c r="CYC6" s="582"/>
      <c r="CYD6" s="582"/>
      <c r="CYE6" s="582"/>
      <c r="CYF6" s="582"/>
      <c r="CYG6" s="582"/>
      <c r="CYH6" s="582"/>
      <c r="CYI6" s="582"/>
      <c r="CYJ6" s="582"/>
      <c r="CYK6" s="582"/>
      <c r="CYL6" s="582"/>
      <c r="CYM6" s="582"/>
      <c r="CYN6" s="582"/>
      <c r="CYO6" s="582"/>
      <c r="CYP6" s="582"/>
      <c r="CYQ6" s="582"/>
      <c r="CYR6" s="582"/>
      <c r="CYS6" s="582"/>
      <c r="CYT6" s="582"/>
      <c r="CYU6" s="582"/>
      <c r="CYV6" s="582"/>
      <c r="CYW6" s="582"/>
      <c r="CYX6" s="582"/>
      <c r="CYY6" s="582"/>
      <c r="CYZ6" s="582"/>
      <c r="CZA6" s="582"/>
      <c r="CZB6" s="582"/>
      <c r="CZC6" s="582"/>
      <c r="CZD6" s="582"/>
      <c r="CZE6" s="582"/>
      <c r="CZF6" s="582"/>
      <c r="CZG6" s="582"/>
      <c r="CZH6" s="582"/>
      <c r="CZI6" s="582"/>
      <c r="CZJ6" s="582"/>
      <c r="CZK6" s="582"/>
      <c r="CZL6" s="582"/>
      <c r="CZM6" s="582"/>
      <c r="CZN6" s="582"/>
      <c r="CZO6" s="582"/>
      <c r="CZP6" s="582"/>
      <c r="CZQ6" s="582"/>
      <c r="CZR6" s="582"/>
      <c r="CZS6" s="582"/>
      <c r="CZT6" s="582"/>
      <c r="CZU6" s="582"/>
      <c r="CZV6" s="582"/>
      <c r="CZW6" s="582"/>
      <c r="CZX6" s="582"/>
      <c r="CZY6" s="582"/>
      <c r="CZZ6" s="582"/>
      <c r="DAA6" s="582"/>
      <c r="DAB6" s="582"/>
      <c r="DAC6" s="582"/>
      <c r="DAD6" s="582"/>
      <c r="DAE6" s="582"/>
      <c r="DAF6" s="582"/>
      <c r="DAG6" s="582"/>
      <c r="DAH6" s="582"/>
      <c r="DAI6" s="582"/>
      <c r="DAJ6" s="582"/>
      <c r="DAK6" s="582"/>
      <c r="DAL6" s="582"/>
      <c r="DAM6" s="582"/>
      <c r="DAN6" s="582"/>
      <c r="DAO6" s="582"/>
      <c r="DAP6" s="582"/>
      <c r="DAQ6" s="582"/>
      <c r="DAR6" s="582"/>
      <c r="DAS6" s="582"/>
      <c r="DAT6" s="582"/>
      <c r="DAU6" s="582"/>
      <c r="DAV6" s="582"/>
      <c r="DAW6" s="582"/>
      <c r="DAX6" s="582"/>
      <c r="DAY6" s="582"/>
      <c r="DAZ6" s="582"/>
      <c r="DBA6" s="582"/>
      <c r="DBB6" s="582"/>
      <c r="DBC6" s="582"/>
      <c r="DBD6" s="582"/>
      <c r="DBE6" s="582"/>
      <c r="DBF6" s="582"/>
      <c r="DBG6" s="582"/>
      <c r="DBH6" s="582"/>
      <c r="DBI6" s="582"/>
      <c r="DBJ6" s="582"/>
      <c r="DBK6" s="582"/>
      <c r="DBL6" s="582"/>
      <c r="DBM6" s="582"/>
      <c r="DBN6" s="582"/>
      <c r="DBO6" s="582"/>
      <c r="DBP6" s="582"/>
      <c r="DBQ6" s="582"/>
      <c r="DBR6" s="582"/>
      <c r="DBS6" s="582"/>
      <c r="DBT6" s="582"/>
      <c r="DBU6" s="582"/>
      <c r="DBV6" s="582"/>
      <c r="DBW6" s="582"/>
      <c r="DBX6" s="582"/>
      <c r="DBY6" s="582"/>
      <c r="DBZ6" s="582"/>
      <c r="DCA6" s="582"/>
      <c r="DCB6" s="582"/>
      <c r="DCC6" s="582"/>
      <c r="DCD6" s="582"/>
      <c r="DCE6" s="582"/>
      <c r="DCF6" s="582"/>
      <c r="DCG6" s="582"/>
      <c r="DCH6" s="582"/>
      <c r="DCI6" s="582"/>
      <c r="DCJ6" s="582"/>
      <c r="DCK6" s="582"/>
      <c r="DCL6" s="582"/>
      <c r="DCM6" s="582"/>
      <c r="DCN6" s="582"/>
      <c r="DCO6" s="582"/>
      <c r="DCP6" s="582"/>
      <c r="DCQ6" s="582"/>
      <c r="DCR6" s="582"/>
      <c r="DCS6" s="582"/>
      <c r="DCT6" s="582"/>
      <c r="DCU6" s="582"/>
      <c r="DCV6" s="582"/>
      <c r="DCW6" s="582"/>
      <c r="DCX6" s="582"/>
      <c r="DCY6" s="582"/>
      <c r="DCZ6" s="582"/>
      <c r="DDA6" s="582"/>
      <c r="DDB6" s="582"/>
      <c r="DDC6" s="582"/>
      <c r="DDD6" s="582"/>
      <c r="DDE6" s="582"/>
      <c r="DDF6" s="582"/>
      <c r="DDG6" s="582"/>
      <c r="DDH6" s="582"/>
      <c r="DDI6" s="582"/>
      <c r="DDJ6" s="582"/>
      <c r="DDK6" s="582"/>
      <c r="DDL6" s="582"/>
      <c r="DDM6" s="582"/>
      <c r="DDN6" s="582"/>
      <c r="DDO6" s="582"/>
      <c r="DDP6" s="582"/>
      <c r="DDQ6" s="582"/>
      <c r="DDR6" s="582"/>
      <c r="DDS6" s="582"/>
      <c r="DDT6" s="582"/>
      <c r="DDU6" s="582"/>
      <c r="DDV6" s="582"/>
      <c r="DDW6" s="582"/>
      <c r="DDX6" s="582"/>
      <c r="DDY6" s="582"/>
      <c r="DDZ6" s="582"/>
      <c r="DEA6" s="582"/>
      <c r="DEB6" s="582"/>
      <c r="DEC6" s="582"/>
      <c r="DED6" s="582"/>
      <c r="DEE6" s="582"/>
      <c r="DEF6" s="582"/>
      <c r="DEG6" s="582"/>
      <c r="DEH6" s="582"/>
      <c r="DEI6" s="582"/>
      <c r="DEJ6" s="582"/>
      <c r="DEK6" s="582"/>
      <c r="DEL6" s="582"/>
      <c r="DEM6" s="582"/>
      <c r="DEN6" s="582"/>
      <c r="DEO6" s="582"/>
      <c r="DEP6" s="582"/>
      <c r="DEQ6" s="582"/>
      <c r="DER6" s="582"/>
      <c r="DES6" s="582"/>
      <c r="DET6" s="582"/>
      <c r="DEU6" s="582"/>
      <c r="DEV6" s="582"/>
      <c r="DEW6" s="582"/>
      <c r="DEX6" s="582"/>
      <c r="DEY6" s="582"/>
      <c r="DEZ6" s="582"/>
      <c r="DFA6" s="582"/>
      <c r="DFB6" s="582"/>
      <c r="DFC6" s="582"/>
      <c r="DFD6" s="582"/>
      <c r="DFE6" s="582"/>
      <c r="DFF6" s="582"/>
      <c r="DFG6" s="582"/>
      <c r="DFH6" s="582"/>
      <c r="DFI6" s="582"/>
      <c r="DFJ6" s="582"/>
      <c r="DFK6" s="582"/>
      <c r="DFL6" s="582"/>
      <c r="DFM6" s="582"/>
      <c r="DFN6" s="582"/>
      <c r="DFO6" s="582"/>
      <c r="DFP6" s="582"/>
      <c r="DFQ6" s="582"/>
      <c r="DFR6" s="582"/>
      <c r="DFS6" s="582"/>
      <c r="DFT6" s="582"/>
      <c r="DFU6" s="582"/>
      <c r="DFV6" s="582"/>
      <c r="DFW6" s="582"/>
      <c r="DFX6" s="582"/>
      <c r="DFY6" s="582"/>
      <c r="DFZ6" s="582"/>
      <c r="DGA6" s="582"/>
      <c r="DGB6" s="582"/>
      <c r="DGC6" s="582"/>
      <c r="DGD6" s="582"/>
      <c r="DGE6" s="582"/>
      <c r="DGF6" s="582"/>
      <c r="DGG6" s="582"/>
      <c r="DGH6" s="582"/>
      <c r="DGI6" s="582"/>
      <c r="DGJ6" s="582"/>
      <c r="DGK6" s="582"/>
      <c r="DGL6" s="582"/>
      <c r="DGM6" s="582"/>
      <c r="DGN6" s="582"/>
      <c r="DGO6" s="582"/>
      <c r="DGP6" s="582"/>
      <c r="DGQ6" s="582"/>
      <c r="DGR6" s="582"/>
      <c r="DGS6" s="582"/>
      <c r="DGT6" s="582"/>
      <c r="DGU6" s="582"/>
      <c r="DGV6" s="582"/>
      <c r="DGW6" s="582"/>
      <c r="DGX6" s="582"/>
      <c r="DGY6" s="582"/>
      <c r="DGZ6" s="582"/>
      <c r="DHA6" s="582"/>
      <c r="DHB6" s="582"/>
      <c r="DHC6" s="582"/>
      <c r="DHD6" s="582"/>
      <c r="DHE6" s="582"/>
      <c r="DHF6" s="582"/>
      <c r="DHG6" s="582"/>
      <c r="DHH6" s="582"/>
      <c r="DHI6" s="582"/>
      <c r="DHJ6" s="582"/>
      <c r="DHK6" s="582"/>
      <c r="DHL6" s="582"/>
      <c r="DHM6" s="582"/>
      <c r="DHN6" s="582"/>
      <c r="DHO6" s="582"/>
      <c r="DHP6" s="582"/>
      <c r="DHQ6" s="582"/>
      <c r="DHR6" s="582"/>
      <c r="DHS6" s="582"/>
      <c r="DHT6" s="582"/>
      <c r="DHU6" s="582"/>
      <c r="DHV6" s="582"/>
      <c r="DHW6" s="582"/>
      <c r="DHX6" s="582"/>
      <c r="DHY6" s="582"/>
      <c r="DHZ6" s="582"/>
      <c r="DIA6" s="582"/>
      <c r="DIB6" s="582"/>
      <c r="DIC6" s="582"/>
      <c r="DID6" s="582"/>
      <c r="DIE6" s="582"/>
      <c r="DIF6" s="582"/>
      <c r="DIG6" s="582"/>
      <c r="DIH6" s="582"/>
      <c r="DII6" s="582"/>
      <c r="DIJ6" s="582"/>
      <c r="DIK6" s="582"/>
      <c r="DIL6" s="582"/>
      <c r="DIM6" s="582"/>
      <c r="DIN6" s="582"/>
      <c r="DIO6" s="582"/>
      <c r="DIP6" s="582"/>
      <c r="DIQ6" s="582"/>
      <c r="DIR6" s="582"/>
      <c r="DIS6" s="582"/>
      <c r="DIT6" s="582"/>
      <c r="DIU6" s="582"/>
      <c r="DIV6" s="582"/>
      <c r="DIW6" s="582"/>
      <c r="DIX6" s="582"/>
      <c r="DIY6" s="582"/>
      <c r="DIZ6" s="582"/>
      <c r="DJA6" s="582"/>
      <c r="DJB6" s="582"/>
      <c r="DJC6" s="582"/>
      <c r="DJD6" s="582"/>
      <c r="DJE6" s="582"/>
      <c r="DJF6" s="582"/>
      <c r="DJG6" s="582"/>
      <c r="DJH6" s="582"/>
      <c r="DJI6" s="582"/>
      <c r="DJJ6" s="582"/>
      <c r="DJK6" s="582"/>
      <c r="DJL6" s="582"/>
      <c r="DJM6" s="582"/>
      <c r="DJN6" s="582"/>
      <c r="DJO6" s="582"/>
      <c r="DJP6" s="582"/>
      <c r="DJQ6" s="582"/>
      <c r="DJR6" s="582"/>
      <c r="DJS6" s="582"/>
      <c r="DJT6" s="582"/>
      <c r="DJU6" s="582"/>
      <c r="DJV6" s="582"/>
      <c r="DJW6" s="582"/>
      <c r="DJX6" s="582"/>
      <c r="DJY6" s="582"/>
      <c r="DJZ6" s="582"/>
      <c r="DKA6" s="582"/>
      <c r="DKB6" s="582"/>
      <c r="DKC6" s="582"/>
      <c r="DKD6" s="582"/>
      <c r="DKE6" s="582"/>
      <c r="DKF6" s="582"/>
      <c r="DKG6" s="582"/>
      <c r="DKH6" s="582"/>
      <c r="DKI6" s="582"/>
      <c r="DKJ6" s="582"/>
      <c r="DKK6" s="582"/>
      <c r="DKL6" s="582"/>
      <c r="DKM6" s="582"/>
      <c r="DKN6" s="582"/>
      <c r="DKO6" s="582"/>
      <c r="DKP6" s="582"/>
      <c r="DKQ6" s="582"/>
      <c r="DKR6" s="582"/>
      <c r="DKS6" s="582"/>
      <c r="DKT6" s="582"/>
      <c r="DKU6" s="582"/>
      <c r="DKV6" s="582"/>
      <c r="DKW6" s="582"/>
      <c r="DKX6" s="582"/>
      <c r="DKY6" s="582"/>
      <c r="DKZ6" s="582"/>
      <c r="DLA6" s="582"/>
      <c r="DLB6" s="582"/>
      <c r="DLC6" s="582"/>
      <c r="DLD6" s="582"/>
      <c r="DLE6" s="582"/>
      <c r="DLF6" s="582"/>
      <c r="DLG6" s="582"/>
      <c r="DLH6" s="582"/>
      <c r="DLI6" s="582"/>
      <c r="DLJ6" s="582"/>
      <c r="DLK6" s="582"/>
      <c r="DLL6" s="582"/>
      <c r="DLM6" s="582"/>
      <c r="DLN6" s="582"/>
      <c r="DLO6" s="582"/>
      <c r="DLP6" s="582"/>
      <c r="DLQ6" s="582"/>
      <c r="DLR6" s="582"/>
      <c r="DLS6" s="582"/>
      <c r="DLT6" s="582"/>
      <c r="DLU6" s="582"/>
      <c r="DLV6" s="582"/>
      <c r="DLW6" s="582"/>
      <c r="DLX6" s="582"/>
      <c r="DLY6" s="582"/>
      <c r="DLZ6" s="582"/>
      <c r="DMA6" s="582"/>
      <c r="DMB6" s="582"/>
      <c r="DMC6" s="582"/>
      <c r="DMD6" s="582"/>
      <c r="DME6" s="582"/>
      <c r="DMF6" s="582"/>
      <c r="DMG6" s="582"/>
      <c r="DMH6" s="582"/>
      <c r="DMI6" s="582"/>
      <c r="DMJ6" s="582"/>
      <c r="DMK6" s="582"/>
      <c r="DML6" s="582"/>
      <c r="DMM6" s="582"/>
      <c r="DMN6" s="582"/>
      <c r="DMO6" s="582"/>
      <c r="DMP6" s="582"/>
      <c r="DMQ6" s="582"/>
      <c r="DMR6" s="582"/>
      <c r="DMS6" s="582"/>
      <c r="DMT6" s="582"/>
      <c r="DMU6" s="582"/>
      <c r="DMV6" s="582"/>
      <c r="DMW6" s="582"/>
      <c r="DMX6" s="582"/>
      <c r="DMY6" s="582"/>
      <c r="DMZ6" s="582"/>
      <c r="DNA6" s="582"/>
      <c r="DNB6" s="582"/>
      <c r="DNC6" s="582"/>
      <c r="DND6" s="582"/>
      <c r="DNE6" s="582"/>
      <c r="DNF6" s="582"/>
      <c r="DNG6" s="582"/>
      <c r="DNH6" s="582"/>
      <c r="DNI6" s="582"/>
      <c r="DNJ6" s="582"/>
      <c r="DNK6" s="582"/>
      <c r="DNL6" s="582"/>
      <c r="DNM6" s="582"/>
      <c r="DNN6" s="582"/>
      <c r="DNO6" s="582"/>
      <c r="DNP6" s="582"/>
      <c r="DNQ6" s="582"/>
      <c r="DNR6" s="582"/>
      <c r="DNS6" s="582"/>
      <c r="DNT6" s="582"/>
      <c r="DNU6" s="582"/>
      <c r="DNV6" s="582"/>
      <c r="DNW6" s="582"/>
      <c r="DNX6" s="582"/>
      <c r="DNY6" s="582"/>
      <c r="DNZ6" s="582"/>
      <c r="DOA6" s="582"/>
      <c r="DOB6" s="582"/>
      <c r="DOC6" s="582"/>
      <c r="DOD6" s="582"/>
      <c r="DOE6" s="582"/>
      <c r="DOF6" s="582"/>
      <c r="DOG6" s="582"/>
      <c r="DOH6" s="582"/>
      <c r="DOI6" s="582"/>
      <c r="DOJ6" s="582"/>
      <c r="DOK6" s="582"/>
      <c r="DOL6" s="582"/>
      <c r="DOM6" s="582"/>
      <c r="DON6" s="582"/>
      <c r="DOO6" s="582"/>
      <c r="DOP6" s="582"/>
      <c r="DOQ6" s="582"/>
      <c r="DOR6" s="582"/>
      <c r="DOS6" s="582"/>
      <c r="DOT6" s="582"/>
      <c r="DOU6" s="582"/>
      <c r="DOV6" s="582"/>
      <c r="DOW6" s="582"/>
      <c r="DOX6" s="582"/>
      <c r="DOY6" s="582"/>
      <c r="DOZ6" s="582"/>
      <c r="DPA6" s="582"/>
      <c r="DPB6" s="582"/>
      <c r="DPC6" s="582"/>
      <c r="DPD6" s="582"/>
      <c r="DPE6" s="582"/>
      <c r="DPF6" s="582"/>
      <c r="DPG6" s="582"/>
      <c r="DPH6" s="582"/>
      <c r="DPI6" s="582"/>
      <c r="DPJ6" s="582"/>
      <c r="DPK6" s="582"/>
      <c r="DPL6" s="582"/>
      <c r="DPM6" s="582"/>
      <c r="DPN6" s="582"/>
      <c r="DPO6" s="582"/>
      <c r="DPP6" s="582"/>
      <c r="DPQ6" s="582"/>
      <c r="DPR6" s="582"/>
      <c r="DPS6" s="582"/>
      <c r="DPT6" s="582"/>
      <c r="DPU6" s="582"/>
      <c r="DPV6" s="582"/>
      <c r="DPW6" s="582"/>
      <c r="DPX6" s="582"/>
      <c r="DPY6" s="582"/>
      <c r="DPZ6" s="582"/>
      <c r="DQA6" s="582"/>
      <c r="DQB6" s="582"/>
      <c r="DQC6" s="582"/>
      <c r="DQD6" s="582"/>
      <c r="DQE6" s="582"/>
      <c r="DQF6" s="582"/>
      <c r="DQG6" s="582"/>
      <c r="DQH6" s="582"/>
      <c r="DQI6" s="582"/>
      <c r="DQJ6" s="582"/>
      <c r="DQK6" s="582"/>
      <c r="DQL6" s="582"/>
      <c r="DQM6" s="582"/>
      <c r="DQN6" s="582"/>
      <c r="DQO6" s="582"/>
      <c r="DQP6" s="582"/>
      <c r="DQQ6" s="582"/>
      <c r="DQR6" s="582"/>
      <c r="DQS6" s="582"/>
      <c r="DQT6" s="582"/>
      <c r="DQU6" s="582"/>
      <c r="DQV6" s="582"/>
      <c r="DQW6" s="582"/>
      <c r="DQX6" s="582"/>
      <c r="DQY6" s="582"/>
      <c r="DQZ6" s="582"/>
      <c r="DRA6" s="582"/>
      <c r="DRB6" s="582"/>
      <c r="DRC6" s="582"/>
      <c r="DRD6" s="582"/>
      <c r="DRE6" s="582"/>
      <c r="DRF6" s="582"/>
      <c r="DRG6" s="582"/>
      <c r="DRH6" s="582"/>
      <c r="DRI6" s="582"/>
      <c r="DRJ6" s="582"/>
      <c r="DRK6" s="582"/>
      <c r="DRL6" s="582"/>
      <c r="DRM6" s="582"/>
      <c r="DRN6" s="582"/>
      <c r="DRO6" s="582"/>
      <c r="DRP6" s="582"/>
      <c r="DRQ6" s="582"/>
      <c r="DRR6" s="582"/>
      <c r="DRS6" s="582"/>
      <c r="DRT6" s="582"/>
      <c r="DRU6" s="582"/>
      <c r="DRV6" s="582"/>
      <c r="DRW6" s="582"/>
      <c r="DRX6" s="582"/>
      <c r="DRY6" s="582"/>
      <c r="DRZ6" s="582"/>
      <c r="DSA6" s="582"/>
      <c r="DSB6" s="582"/>
      <c r="DSC6" s="582"/>
      <c r="DSD6" s="582"/>
      <c r="DSE6" s="582"/>
      <c r="DSF6" s="582"/>
      <c r="DSG6" s="582"/>
      <c r="DSH6" s="582"/>
      <c r="DSI6" s="582"/>
      <c r="DSJ6" s="582"/>
      <c r="DSK6" s="582"/>
      <c r="DSL6" s="582"/>
      <c r="DSM6" s="582"/>
      <c r="DSN6" s="582"/>
      <c r="DSO6" s="582"/>
      <c r="DSP6" s="582"/>
      <c r="DSQ6" s="582"/>
      <c r="DSR6" s="582"/>
      <c r="DSS6" s="582"/>
      <c r="DST6" s="582"/>
      <c r="DSU6" s="582"/>
      <c r="DSV6" s="582"/>
      <c r="DSW6" s="582"/>
      <c r="DSX6" s="582"/>
      <c r="DSY6" s="582"/>
      <c r="DSZ6" s="582"/>
      <c r="DTA6" s="582"/>
      <c r="DTB6" s="582"/>
      <c r="DTC6" s="582"/>
      <c r="DTD6" s="582"/>
      <c r="DTE6" s="582"/>
      <c r="DTF6" s="582"/>
      <c r="DTG6" s="582"/>
      <c r="DTH6" s="582"/>
      <c r="DTI6" s="582"/>
      <c r="DTJ6" s="582"/>
      <c r="DTK6" s="582"/>
      <c r="DTL6" s="582"/>
      <c r="DTM6" s="582"/>
      <c r="DTN6" s="582"/>
      <c r="DTO6" s="582"/>
      <c r="DTP6" s="582"/>
      <c r="DTQ6" s="582"/>
      <c r="DTR6" s="582"/>
      <c r="DTS6" s="582"/>
      <c r="DTT6" s="582"/>
      <c r="DTU6" s="582"/>
      <c r="DTV6" s="582"/>
      <c r="DTW6" s="582"/>
      <c r="DTX6" s="582"/>
      <c r="DTY6" s="582"/>
      <c r="DTZ6" s="582"/>
      <c r="DUA6" s="582"/>
      <c r="DUB6" s="582"/>
      <c r="DUC6" s="582"/>
      <c r="DUD6" s="582"/>
      <c r="DUE6" s="582"/>
      <c r="DUF6" s="582"/>
      <c r="DUG6" s="582"/>
      <c r="DUH6" s="582"/>
      <c r="DUI6" s="582"/>
      <c r="DUJ6" s="582"/>
      <c r="DUK6" s="582"/>
      <c r="DUL6" s="582"/>
      <c r="DUM6" s="582"/>
      <c r="DUN6" s="582"/>
      <c r="DUO6" s="582"/>
      <c r="DUP6" s="582"/>
      <c r="DUQ6" s="582"/>
      <c r="DUR6" s="582"/>
      <c r="DUS6" s="582"/>
      <c r="DUT6" s="582"/>
      <c r="DUU6" s="582"/>
      <c r="DUV6" s="582"/>
      <c r="DUW6" s="582"/>
      <c r="DUX6" s="582"/>
      <c r="DUY6" s="582"/>
      <c r="DUZ6" s="582"/>
      <c r="DVA6" s="582"/>
      <c r="DVB6" s="582"/>
      <c r="DVC6" s="582"/>
      <c r="DVD6" s="582"/>
      <c r="DVE6" s="582"/>
      <c r="DVF6" s="582"/>
      <c r="DVG6" s="582"/>
      <c r="DVH6" s="582"/>
      <c r="DVI6" s="582"/>
      <c r="DVJ6" s="582"/>
      <c r="DVK6" s="582"/>
      <c r="DVL6" s="582"/>
      <c r="DVM6" s="582"/>
      <c r="DVN6" s="582"/>
      <c r="DVO6" s="582"/>
      <c r="DVP6" s="582"/>
      <c r="DVQ6" s="582"/>
      <c r="DVR6" s="582"/>
      <c r="DVS6" s="582"/>
      <c r="DVT6" s="582"/>
      <c r="DVU6" s="582"/>
      <c r="DVV6" s="582"/>
      <c r="DVW6" s="582"/>
      <c r="DVX6" s="582"/>
      <c r="DVY6" s="582"/>
      <c r="DVZ6" s="582"/>
      <c r="DWA6" s="582"/>
      <c r="DWB6" s="582"/>
      <c r="DWC6" s="582"/>
      <c r="DWD6" s="582"/>
      <c r="DWE6" s="582"/>
      <c r="DWF6" s="582"/>
      <c r="DWG6" s="582"/>
      <c r="DWH6" s="582"/>
      <c r="DWI6" s="582"/>
      <c r="DWJ6" s="582"/>
      <c r="DWK6" s="582"/>
      <c r="DWL6" s="582"/>
      <c r="DWM6" s="582"/>
      <c r="DWN6" s="582"/>
      <c r="DWO6" s="582"/>
      <c r="DWP6" s="582"/>
      <c r="DWQ6" s="582"/>
      <c r="DWR6" s="582"/>
      <c r="DWS6" s="582"/>
      <c r="DWT6" s="582"/>
      <c r="DWU6" s="582"/>
      <c r="DWV6" s="582"/>
      <c r="DWW6" s="582"/>
      <c r="DWX6" s="582"/>
      <c r="DWY6" s="582"/>
      <c r="DWZ6" s="582"/>
      <c r="DXA6" s="582"/>
      <c r="DXB6" s="582"/>
      <c r="DXC6" s="582"/>
      <c r="DXD6" s="582"/>
      <c r="DXE6" s="582"/>
      <c r="DXF6" s="582"/>
      <c r="DXG6" s="582"/>
      <c r="DXH6" s="582"/>
      <c r="DXI6" s="582"/>
      <c r="DXJ6" s="582"/>
      <c r="DXK6" s="582"/>
      <c r="DXL6" s="582"/>
      <c r="DXM6" s="582"/>
      <c r="DXN6" s="582"/>
      <c r="DXO6" s="582"/>
      <c r="DXP6" s="582"/>
      <c r="DXQ6" s="582"/>
      <c r="DXR6" s="582"/>
      <c r="DXS6" s="582"/>
      <c r="DXT6" s="582"/>
      <c r="DXU6" s="582"/>
      <c r="DXV6" s="582"/>
      <c r="DXW6" s="582"/>
      <c r="DXX6" s="582"/>
      <c r="DXY6" s="582"/>
      <c r="DXZ6" s="582"/>
      <c r="DYA6" s="582"/>
      <c r="DYB6" s="582"/>
      <c r="DYC6" s="582"/>
      <c r="DYD6" s="582"/>
      <c r="DYE6" s="582"/>
      <c r="DYF6" s="582"/>
      <c r="DYG6" s="582"/>
      <c r="DYH6" s="582"/>
      <c r="DYI6" s="582"/>
      <c r="DYJ6" s="582"/>
      <c r="DYK6" s="582"/>
      <c r="DYL6" s="582"/>
      <c r="DYM6" s="582"/>
      <c r="DYN6" s="582"/>
      <c r="DYO6" s="582"/>
      <c r="DYP6" s="582"/>
      <c r="DYQ6" s="582"/>
      <c r="DYR6" s="582"/>
      <c r="DYS6" s="582"/>
      <c r="DYT6" s="582"/>
      <c r="DYU6" s="582"/>
      <c r="DYV6" s="582"/>
      <c r="DYW6" s="582"/>
      <c r="DYX6" s="582"/>
      <c r="DYY6" s="582"/>
      <c r="DYZ6" s="582"/>
      <c r="DZA6" s="582"/>
      <c r="DZB6" s="582"/>
      <c r="DZC6" s="582"/>
      <c r="DZD6" s="582"/>
      <c r="DZE6" s="582"/>
      <c r="DZF6" s="582"/>
      <c r="DZG6" s="582"/>
      <c r="DZH6" s="582"/>
      <c r="DZI6" s="582"/>
      <c r="DZJ6" s="582"/>
      <c r="DZK6" s="582"/>
      <c r="DZL6" s="582"/>
      <c r="DZM6" s="582"/>
      <c r="DZN6" s="582"/>
      <c r="DZO6" s="582"/>
      <c r="DZP6" s="582"/>
      <c r="DZQ6" s="582"/>
      <c r="DZR6" s="582"/>
      <c r="DZS6" s="582"/>
      <c r="DZT6" s="582"/>
      <c r="DZU6" s="582"/>
      <c r="DZV6" s="582"/>
      <c r="DZW6" s="582"/>
      <c r="DZX6" s="582"/>
      <c r="DZY6" s="582"/>
      <c r="DZZ6" s="582"/>
      <c r="EAA6" s="582"/>
      <c r="EAB6" s="582"/>
      <c r="EAC6" s="582"/>
      <c r="EAD6" s="582"/>
      <c r="EAE6" s="582"/>
      <c r="EAF6" s="582"/>
      <c r="EAG6" s="582"/>
      <c r="EAH6" s="582"/>
      <c r="EAI6" s="582"/>
      <c r="EAJ6" s="582"/>
      <c r="EAK6" s="582"/>
      <c r="EAL6" s="582"/>
      <c r="EAM6" s="582"/>
      <c r="EAN6" s="582"/>
      <c r="EAO6" s="582"/>
      <c r="EAP6" s="582"/>
      <c r="EAQ6" s="582"/>
      <c r="EAR6" s="582"/>
      <c r="EAS6" s="582"/>
      <c r="EAT6" s="582"/>
      <c r="EAU6" s="582"/>
      <c r="EAV6" s="582"/>
      <c r="EAW6" s="582"/>
      <c r="EAX6" s="582"/>
      <c r="EAY6" s="582"/>
      <c r="EAZ6" s="582"/>
      <c r="EBA6" s="582"/>
      <c r="EBB6" s="582"/>
      <c r="EBC6" s="582"/>
      <c r="EBD6" s="582"/>
      <c r="EBE6" s="582"/>
      <c r="EBF6" s="582"/>
      <c r="EBG6" s="582"/>
      <c r="EBH6" s="582"/>
      <c r="EBI6" s="582"/>
      <c r="EBJ6" s="582"/>
      <c r="EBK6" s="582"/>
      <c r="EBL6" s="582"/>
      <c r="EBM6" s="582"/>
      <c r="EBN6" s="582"/>
      <c r="EBO6" s="582"/>
      <c r="EBP6" s="582"/>
      <c r="EBQ6" s="582"/>
      <c r="EBR6" s="582"/>
      <c r="EBS6" s="582"/>
      <c r="EBT6" s="582"/>
      <c r="EBU6" s="582"/>
      <c r="EBV6" s="582"/>
      <c r="EBW6" s="582"/>
      <c r="EBX6" s="582"/>
      <c r="EBY6" s="582"/>
      <c r="EBZ6" s="582"/>
      <c r="ECA6" s="582"/>
      <c r="ECB6" s="582"/>
      <c r="ECC6" s="582"/>
      <c r="ECD6" s="582"/>
      <c r="ECE6" s="582"/>
      <c r="ECF6" s="582"/>
      <c r="ECG6" s="582"/>
      <c r="ECH6" s="582"/>
      <c r="ECI6" s="582"/>
      <c r="ECJ6" s="582"/>
      <c r="ECK6" s="582"/>
      <c r="ECL6" s="582"/>
      <c r="ECM6" s="582"/>
      <c r="ECN6" s="582"/>
      <c r="ECO6" s="582"/>
      <c r="ECP6" s="582"/>
      <c r="ECQ6" s="582"/>
      <c r="ECR6" s="582"/>
      <c r="ECS6" s="582"/>
      <c r="ECT6" s="582"/>
      <c r="ECU6" s="582"/>
      <c r="ECV6" s="582"/>
      <c r="ECW6" s="582"/>
      <c r="ECX6" s="582"/>
      <c r="ECY6" s="582"/>
      <c r="ECZ6" s="582"/>
      <c r="EDA6" s="582"/>
      <c r="EDB6" s="582"/>
      <c r="EDC6" s="582"/>
      <c r="EDD6" s="582"/>
      <c r="EDE6" s="582"/>
      <c r="EDF6" s="582"/>
      <c r="EDG6" s="582"/>
      <c r="EDH6" s="582"/>
      <c r="EDI6" s="582"/>
      <c r="EDJ6" s="582"/>
      <c r="EDK6" s="582"/>
      <c r="EDL6" s="582"/>
      <c r="EDM6" s="582"/>
      <c r="EDN6" s="582"/>
      <c r="EDO6" s="582"/>
      <c r="EDP6" s="582"/>
      <c r="EDQ6" s="582"/>
      <c r="EDR6" s="582"/>
      <c r="EDS6" s="582"/>
      <c r="EDT6" s="582"/>
      <c r="EDU6" s="582"/>
      <c r="EDV6" s="582"/>
      <c r="EDW6" s="582"/>
      <c r="EDX6" s="582"/>
      <c r="EDY6" s="582"/>
      <c r="EDZ6" s="582"/>
      <c r="EEA6" s="582"/>
      <c r="EEB6" s="582"/>
      <c r="EEC6" s="582"/>
      <c r="EED6" s="582"/>
      <c r="EEE6" s="582"/>
      <c r="EEF6" s="582"/>
      <c r="EEG6" s="582"/>
      <c r="EEH6" s="582"/>
      <c r="EEI6" s="582"/>
      <c r="EEJ6" s="582"/>
      <c r="EEK6" s="582"/>
      <c r="EEL6" s="582"/>
      <c r="EEM6" s="582"/>
      <c r="EEN6" s="582"/>
      <c r="EEO6" s="582"/>
      <c r="EEP6" s="582"/>
      <c r="EEQ6" s="582"/>
      <c r="EER6" s="582"/>
      <c r="EES6" s="582"/>
      <c r="EET6" s="582"/>
      <c r="EEU6" s="582"/>
      <c r="EEV6" s="582"/>
      <c r="EEW6" s="582"/>
      <c r="EEX6" s="582"/>
      <c r="EEY6" s="582"/>
      <c r="EEZ6" s="582"/>
      <c r="EFA6" s="582"/>
      <c r="EFB6" s="582"/>
      <c r="EFC6" s="582"/>
      <c r="EFD6" s="582"/>
      <c r="EFE6" s="582"/>
      <c r="EFF6" s="582"/>
      <c r="EFG6" s="582"/>
      <c r="EFH6" s="582"/>
      <c r="EFI6" s="582"/>
      <c r="EFJ6" s="582"/>
      <c r="EFK6" s="582"/>
      <c r="EFL6" s="582"/>
      <c r="EFM6" s="582"/>
      <c r="EFN6" s="582"/>
      <c r="EFO6" s="582"/>
      <c r="EFP6" s="582"/>
      <c r="EFQ6" s="582"/>
      <c r="EFR6" s="582"/>
      <c r="EFS6" s="582"/>
      <c r="EFT6" s="582"/>
      <c r="EFU6" s="582"/>
      <c r="EFV6" s="582"/>
      <c r="EFW6" s="582"/>
      <c r="EFX6" s="582"/>
      <c r="EFY6" s="582"/>
      <c r="EFZ6" s="582"/>
      <c r="EGA6" s="582"/>
      <c r="EGB6" s="582"/>
      <c r="EGC6" s="582"/>
      <c r="EGD6" s="582"/>
      <c r="EGE6" s="582"/>
      <c r="EGF6" s="582"/>
      <c r="EGG6" s="582"/>
      <c r="EGH6" s="582"/>
      <c r="EGI6" s="582"/>
      <c r="EGJ6" s="582"/>
      <c r="EGK6" s="582"/>
      <c r="EGL6" s="582"/>
      <c r="EGM6" s="582"/>
      <c r="EGN6" s="582"/>
      <c r="EGO6" s="582"/>
      <c r="EGP6" s="582"/>
      <c r="EGQ6" s="582"/>
      <c r="EGR6" s="582"/>
      <c r="EGS6" s="582"/>
      <c r="EGT6" s="582"/>
      <c r="EGU6" s="582"/>
      <c r="EGV6" s="582"/>
      <c r="EGW6" s="582"/>
      <c r="EGX6" s="582"/>
      <c r="EGY6" s="582"/>
      <c r="EGZ6" s="582"/>
      <c r="EHA6" s="582"/>
      <c r="EHB6" s="582"/>
      <c r="EHC6" s="582"/>
      <c r="EHD6" s="582"/>
      <c r="EHE6" s="582"/>
      <c r="EHF6" s="582"/>
      <c r="EHG6" s="582"/>
      <c r="EHH6" s="582"/>
      <c r="EHI6" s="582"/>
      <c r="EHJ6" s="582"/>
      <c r="EHK6" s="582"/>
      <c r="EHL6" s="582"/>
      <c r="EHM6" s="582"/>
      <c r="EHN6" s="582"/>
      <c r="EHO6" s="582"/>
      <c r="EHP6" s="582"/>
      <c r="EHQ6" s="582"/>
      <c r="EHR6" s="582"/>
      <c r="EHS6" s="582"/>
      <c r="EHT6" s="582"/>
      <c r="EHU6" s="582"/>
      <c r="EHV6" s="582"/>
      <c r="EHW6" s="582"/>
      <c r="EHX6" s="582"/>
      <c r="EHY6" s="582"/>
      <c r="EHZ6" s="582"/>
      <c r="EIA6" s="582"/>
      <c r="EIB6" s="582"/>
      <c r="EIC6" s="582"/>
      <c r="EID6" s="582"/>
      <c r="EIE6" s="582"/>
      <c r="EIF6" s="582"/>
      <c r="EIG6" s="582"/>
      <c r="EIH6" s="582"/>
      <c r="EII6" s="582"/>
      <c r="EIJ6" s="582"/>
      <c r="EIK6" s="582"/>
      <c r="EIL6" s="582"/>
      <c r="EIM6" s="582"/>
      <c r="EIN6" s="582"/>
      <c r="EIO6" s="582"/>
      <c r="EIP6" s="582"/>
      <c r="EIQ6" s="582"/>
      <c r="EIR6" s="582"/>
      <c r="EIS6" s="582"/>
      <c r="EIT6" s="582"/>
      <c r="EIU6" s="582"/>
      <c r="EIV6" s="582"/>
      <c r="EIW6" s="582"/>
      <c r="EIX6" s="582"/>
      <c r="EIY6" s="582"/>
      <c r="EIZ6" s="582"/>
      <c r="EJA6" s="582"/>
      <c r="EJB6" s="582"/>
      <c r="EJC6" s="582"/>
      <c r="EJD6" s="582"/>
      <c r="EJE6" s="582"/>
      <c r="EJF6" s="582"/>
      <c r="EJG6" s="582"/>
      <c r="EJH6" s="582"/>
      <c r="EJI6" s="582"/>
      <c r="EJJ6" s="582"/>
      <c r="EJK6" s="582"/>
      <c r="EJL6" s="582"/>
      <c r="EJM6" s="582"/>
      <c r="EJN6" s="582"/>
      <c r="EJO6" s="582"/>
      <c r="EJP6" s="582"/>
      <c r="EJQ6" s="582"/>
      <c r="EJR6" s="582"/>
      <c r="EJS6" s="582"/>
      <c r="EJT6" s="582"/>
      <c r="EJU6" s="582"/>
      <c r="EJV6" s="582"/>
      <c r="EJW6" s="582"/>
      <c r="EJX6" s="582"/>
      <c r="EJY6" s="582"/>
      <c r="EJZ6" s="582"/>
      <c r="EKA6" s="582"/>
      <c r="EKB6" s="582"/>
      <c r="EKC6" s="582"/>
      <c r="EKD6" s="582"/>
      <c r="EKE6" s="582"/>
      <c r="EKF6" s="582"/>
      <c r="EKG6" s="582"/>
      <c r="EKH6" s="582"/>
      <c r="EKI6" s="582"/>
      <c r="EKJ6" s="582"/>
      <c r="EKK6" s="582"/>
      <c r="EKL6" s="582"/>
      <c r="EKM6" s="582"/>
      <c r="EKN6" s="582"/>
      <c r="EKO6" s="582"/>
      <c r="EKP6" s="582"/>
      <c r="EKQ6" s="582"/>
      <c r="EKR6" s="582"/>
      <c r="EKS6" s="582"/>
      <c r="EKT6" s="582"/>
      <c r="EKU6" s="582"/>
      <c r="EKV6" s="582"/>
      <c r="EKW6" s="582"/>
      <c r="EKX6" s="582"/>
      <c r="EKY6" s="582"/>
      <c r="EKZ6" s="582"/>
      <c r="ELA6" s="582"/>
      <c r="ELB6" s="582"/>
      <c r="ELC6" s="582"/>
      <c r="ELD6" s="582"/>
      <c r="ELE6" s="582"/>
      <c r="ELF6" s="582"/>
      <c r="ELG6" s="582"/>
      <c r="ELH6" s="582"/>
      <c r="ELI6" s="582"/>
      <c r="ELJ6" s="582"/>
      <c r="ELK6" s="582"/>
      <c r="ELL6" s="582"/>
      <c r="ELM6" s="582"/>
      <c r="ELN6" s="582"/>
      <c r="ELO6" s="582"/>
      <c r="ELP6" s="582"/>
      <c r="ELQ6" s="582"/>
      <c r="ELR6" s="582"/>
      <c r="ELS6" s="582"/>
      <c r="ELT6" s="582"/>
      <c r="ELU6" s="582"/>
      <c r="ELV6" s="582"/>
      <c r="ELW6" s="582"/>
      <c r="ELX6" s="582"/>
      <c r="ELY6" s="582"/>
      <c r="ELZ6" s="582"/>
      <c r="EMA6" s="582"/>
      <c r="EMB6" s="582"/>
      <c r="EMC6" s="582"/>
      <c r="EMD6" s="582"/>
      <c r="EME6" s="582"/>
      <c r="EMF6" s="582"/>
      <c r="EMG6" s="582"/>
      <c r="EMH6" s="582"/>
      <c r="EMI6" s="582"/>
      <c r="EMJ6" s="582"/>
      <c r="EMK6" s="582"/>
      <c r="EML6" s="582"/>
      <c r="EMM6" s="582"/>
      <c r="EMN6" s="582"/>
      <c r="EMO6" s="582"/>
      <c r="EMP6" s="582"/>
      <c r="EMQ6" s="582"/>
      <c r="EMR6" s="582"/>
      <c r="EMS6" s="582"/>
      <c r="EMT6" s="582"/>
      <c r="EMU6" s="582"/>
      <c r="EMV6" s="582"/>
      <c r="EMW6" s="582"/>
      <c r="EMX6" s="582"/>
      <c r="EMY6" s="582"/>
      <c r="EMZ6" s="582"/>
      <c r="ENA6" s="582"/>
      <c r="ENB6" s="582"/>
      <c r="ENC6" s="582"/>
      <c r="END6" s="582"/>
      <c r="ENE6" s="582"/>
      <c r="ENF6" s="582"/>
      <c r="ENG6" s="582"/>
      <c r="ENH6" s="582"/>
      <c r="ENI6" s="582"/>
      <c r="ENJ6" s="582"/>
      <c r="ENK6" s="582"/>
      <c r="ENL6" s="582"/>
      <c r="ENM6" s="582"/>
      <c r="ENN6" s="582"/>
      <c r="ENO6" s="582"/>
      <c r="ENP6" s="582"/>
      <c r="ENQ6" s="582"/>
      <c r="ENR6" s="582"/>
      <c r="ENS6" s="582"/>
      <c r="ENT6" s="582"/>
      <c r="ENU6" s="582"/>
      <c r="ENV6" s="582"/>
      <c r="ENW6" s="582"/>
      <c r="ENX6" s="582"/>
      <c r="ENY6" s="582"/>
      <c r="ENZ6" s="582"/>
      <c r="EOA6" s="582"/>
      <c r="EOB6" s="582"/>
      <c r="EOC6" s="582"/>
      <c r="EOD6" s="582"/>
      <c r="EOE6" s="582"/>
      <c r="EOF6" s="582"/>
      <c r="EOG6" s="582"/>
      <c r="EOH6" s="582"/>
      <c r="EOI6" s="582"/>
      <c r="EOJ6" s="582"/>
      <c r="EOK6" s="582"/>
      <c r="EOL6" s="582"/>
      <c r="EOM6" s="582"/>
      <c r="EON6" s="582"/>
      <c r="EOO6" s="582"/>
      <c r="EOP6" s="582"/>
      <c r="EOQ6" s="582"/>
      <c r="EOR6" s="582"/>
      <c r="EOS6" s="582"/>
      <c r="EOT6" s="582"/>
      <c r="EOU6" s="582"/>
      <c r="EOV6" s="582"/>
      <c r="EOW6" s="582"/>
      <c r="EOX6" s="582"/>
      <c r="EOY6" s="582"/>
      <c r="EOZ6" s="582"/>
      <c r="EPA6" s="582"/>
      <c r="EPB6" s="582"/>
      <c r="EPC6" s="582"/>
      <c r="EPD6" s="582"/>
      <c r="EPE6" s="582"/>
      <c r="EPF6" s="582"/>
      <c r="EPG6" s="582"/>
      <c r="EPH6" s="582"/>
      <c r="EPI6" s="582"/>
      <c r="EPJ6" s="582"/>
      <c r="EPK6" s="582"/>
      <c r="EPL6" s="582"/>
      <c r="EPM6" s="582"/>
      <c r="EPN6" s="582"/>
      <c r="EPO6" s="582"/>
      <c r="EPP6" s="582"/>
      <c r="EPQ6" s="582"/>
      <c r="EPR6" s="582"/>
      <c r="EPS6" s="582"/>
      <c r="EPT6" s="582"/>
      <c r="EPU6" s="582"/>
      <c r="EPV6" s="582"/>
      <c r="EPW6" s="582"/>
      <c r="EPX6" s="582"/>
      <c r="EPY6" s="582"/>
      <c r="EPZ6" s="582"/>
      <c r="EQA6" s="582"/>
      <c r="EQB6" s="582"/>
      <c r="EQC6" s="582"/>
      <c r="EQD6" s="582"/>
      <c r="EQE6" s="582"/>
      <c r="EQF6" s="582"/>
      <c r="EQG6" s="582"/>
      <c r="EQH6" s="582"/>
      <c r="EQI6" s="582"/>
      <c r="EQJ6" s="582"/>
      <c r="EQK6" s="582"/>
      <c r="EQL6" s="582"/>
      <c r="EQM6" s="582"/>
      <c r="EQN6" s="582"/>
      <c r="EQO6" s="582"/>
      <c r="EQP6" s="582"/>
      <c r="EQQ6" s="582"/>
      <c r="EQR6" s="582"/>
      <c r="EQS6" s="582"/>
      <c r="EQT6" s="582"/>
      <c r="EQU6" s="582"/>
      <c r="EQV6" s="582"/>
      <c r="EQW6" s="582"/>
      <c r="EQX6" s="582"/>
      <c r="EQY6" s="582"/>
      <c r="EQZ6" s="582"/>
      <c r="ERA6" s="582"/>
      <c r="ERB6" s="582"/>
      <c r="ERC6" s="582"/>
      <c r="ERD6" s="582"/>
      <c r="ERE6" s="582"/>
      <c r="ERF6" s="582"/>
      <c r="ERG6" s="582"/>
      <c r="ERH6" s="582"/>
      <c r="ERI6" s="582"/>
      <c r="ERJ6" s="582"/>
      <c r="ERK6" s="582"/>
      <c r="ERL6" s="582"/>
      <c r="ERM6" s="582"/>
      <c r="ERN6" s="582"/>
      <c r="ERO6" s="582"/>
      <c r="ERP6" s="582"/>
      <c r="ERQ6" s="582"/>
      <c r="ERR6" s="582"/>
      <c r="ERS6" s="582"/>
      <c r="ERT6" s="582"/>
      <c r="ERU6" s="582"/>
      <c r="ERV6" s="582"/>
      <c r="ERW6" s="582"/>
      <c r="ERX6" s="582"/>
      <c r="ERY6" s="582"/>
      <c r="ERZ6" s="582"/>
      <c r="ESA6" s="582"/>
      <c r="ESB6" s="582"/>
      <c r="ESC6" s="582"/>
      <c r="ESD6" s="582"/>
      <c r="ESE6" s="582"/>
      <c r="ESF6" s="582"/>
      <c r="ESG6" s="582"/>
      <c r="ESH6" s="582"/>
      <c r="ESI6" s="582"/>
      <c r="ESJ6" s="582"/>
      <c r="ESK6" s="582"/>
      <c r="ESL6" s="582"/>
      <c r="ESM6" s="582"/>
      <c r="ESN6" s="582"/>
      <c r="ESO6" s="582"/>
      <c r="ESP6" s="582"/>
      <c r="ESQ6" s="582"/>
      <c r="ESR6" s="582"/>
      <c r="ESS6" s="582"/>
      <c r="EST6" s="582"/>
      <c r="ESU6" s="582"/>
      <c r="ESV6" s="582"/>
      <c r="ESW6" s="582"/>
      <c r="ESX6" s="582"/>
      <c r="ESY6" s="582"/>
      <c r="ESZ6" s="582"/>
      <c r="ETA6" s="582"/>
      <c r="ETB6" s="582"/>
      <c r="ETC6" s="582"/>
      <c r="ETD6" s="582"/>
      <c r="ETE6" s="582"/>
      <c r="ETF6" s="582"/>
      <c r="ETG6" s="582"/>
      <c r="ETH6" s="582"/>
      <c r="ETI6" s="582"/>
      <c r="ETJ6" s="582"/>
      <c r="ETK6" s="582"/>
      <c r="ETL6" s="582"/>
      <c r="ETM6" s="582"/>
      <c r="ETN6" s="582"/>
      <c r="ETO6" s="582"/>
      <c r="ETP6" s="582"/>
      <c r="ETQ6" s="582"/>
      <c r="ETR6" s="582"/>
      <c r="ETS6" s="582"/>
      <c r="ETT6" s="582"/>
      <c r="ETU6" s="582"/>
      <c r="ETV6" s="582"/>
      <c r="ETW6" s="582"/>
      <c r="ETX6" s="582"/>
      <c r="ETY6" s="582"/>
      <c r="ETZ6" s="582"/>
      <c r="EUA6" s="582"/>
      <c r="EUB6" s="582"/>
      <c r="EUC6" s="582"/>
      <c r="EUD6" s="582"/>
      <c r="EUE6" s="582"/>
      <c r="EUF6" s="582"/>
      <c r="EUG6" s="582"/>
      <c r="EUH6" s="582"/>
      <c r="EUI6" s="582"/>
      <c r="EUJ6" s="582"/>
      <c r="EUK6" s="582"/>
      <c r="EUL6" s="582"/>
      <c r="EUM6" s="582"/>
      <c r="EUN6" s="582"/>
      <c r="EUO6" s="582"/>
      <c r="EUP6" s="582"/>
      <c r="EUQ6" s="582"/>
      <c r="EUR6" s="582"/>
      <c r="EUS6" s="582"/>
      <c r="EUT6" s="582"/>
      <c r="EUU6" s="582"/>
      <c r="EUV6" s="582"/>
      <c r="EUW6" s="582"/>
      <c r="EUX6" s="582"/>
      <c r="EUY6" s="582"/>
      <c r="EUZ6" s="582"/>
      <c r="EVA6" s="582"/>
      <c r="EVB6" s="582"/>
      <c r="EVC6" s="582"/>
      <c r="EVD6" s="582"/>
      <c r="EVE6" s="582"/>
      <c r="EVF6" s="582"/>
      <c r="EVG6" s="582"/>
      <c r="EVH6" s="582"/>
      <c r="EVI6" s="582"/>
      <c r="EVJ6" s="582"/>
      <c r="EVK6" s="582"/>
      <c r="EVL6" s="582"/>
      <c r="EVM6" s="582"/>
      <c r="EVN6" s="582"/>
      <c r="EVO6" s="582"/>
      <c r="EVP6" s="582"/>
      <c r="EVQ6" s="582"/>
      <c r="EVR6" s="582"/>
      <c r="EVS6" s="582"/>
      <c r="EVT6" s="582"/>
      <c r="EVU6" s="582"/>
      <c r="EVV6" s="582"/>
      <c r="EVW6" s="582"/>
      <c r="EVX6" s="582"/>
      <c r="EVY6" s="582"/>
      <c r="EVZ6" s="582"/>
      <c r="EWA6" s="582"/>
      <c r="EWB6" s="582"/>
      <c r="EWC6" s="582"/>
      <c r="EWD6" s="582"/>
      <c r="EWE6" s="582"/>
      <c r="EWF6" s="582"/>
      <c r="EWG6" s="582"/>
      <c r="EWH6" s="582"/>
      <c r="EWI6" s="582"/>
      <c r="EWJ6" s="582"/>
      <c r="EWK6" s="582"/>
      <c r="EWL6" s="582"/>
      <c r="EWM6" s="582"/>
      <c r="EWN6" s="582"/>
      <c r="EWO6" s="582"/>
      <c r="EWP6" s="582"/>
      <c r="EWQ6" s="582"/>
      <c r="EWR6" s="582"/>
      <c r="EWS6" s="582"/>
      <c r="EWT6" s="582"/>
      <c r="EWU6" s="582"/>
      <c r="EWV6" s="582"/>
      <c r="EWW6" s="582"/>
      <c r="EWX6" s="582"/>
      <c r="EWY6" s="582"/>
      <c r="EWZ6" s="582"/>
      <c r="EXA6" s="582"/>
      <c r="EXB6" s="582"/>
      <c r="EXC6" s="582"/>
      <c r="EXD6" s="582"/>
      <c r="EXE6" s="582"/>
      <c r="EXF6" s="582"/>
      <c r="EXG6" s="582"/>
      <c r="EXH6" s="582"/>
      <c r="EXI6" s="582"/>
      <c r="EXJ6" s="582"/>
      <c r="EXK6" s="582"/>
      <c r="EXL6" s="582"/>
      <c r="EXM6" s="582"/>
      <c r="EXN6" s="582"/>
      <c r="EXO6" s="582"/>
      <c r="EXP6" s="582"/>
      <c r="EXQ6" s="582"/>
      <c r="EXR6" s="582"/>
      <c r="EXS6" s="582"/>
      <c r="EXT6" s="582"/>
      <c r="EXU6" s="582"/>
      <c r="EXV6" s="582"/>
      <c r="EXW6" s="582"/>
      <c r="EXX6" s="582"/>
      <c r="EXY6" s="582"/>
      <c r="EXZ6" s="582"/>
      <c r="EYA6" s="582"/>
      <c r="EYB6" s="582"/>
      <c r="EYC6" s="582"/>
      <c r="EYD6" s="582"/>
      <c r="EYE6" s="582"/>
      <c r="EYF6" s="582"/>
      <c r="EYG6" s="582"/>
      <c r="EYH6" s="582"/>
      <c r="EYI6" s="582"/>
      <c r="EYJ6" s="582"/>
      <c r="EYK6" s="582"/>
      <c r="EYL6" s="582"/>
      <c r="EYM6" s="582"/>
      <c r="EYN6" s="582"/>
      <c r="EYO6" s="582"/>
      <c r="EYP6" s="582"/>
      <c r="EYQ6" s="582"/>
      <c r="EYR6" s="582"/>
      <c r="EYS6" s="582"/>
      <c r="EYT6" s="582"/>
      <c r="EYU6" s="582"/>
      <c r="EYV6" s="582"/>
      <c r="EYW6" s="582"/>
      <c r="EYX6" s="582"/>
      <c r="EYY6" s="582"/>
      <c r="EYZ6" s="582"/>
      <c r="EZA6" s="582"/>
      <c r="EZB6" s="582"/>
      <c r="EZC6" s="582"/>
      <c r="EZD6" s="582"/>
      <c r="EZE6" s="582"/>
      <c r="EZF6" s="582"/>
      <c r="EZG6" s="582"/>
      <c r="EZH6" s="582"/>
      <c r="EZI6" s="582"/>
      <c r="EZJ6" s="582"/>
      <c r="EZK6" s="582"/>
      <c r="EZL6" s="582"/>
      <c r="EZM6" s="582"/>
      <c r="EZN6" s="582"/>
      <c r="EZO6" s="582"/>
      <c r="EZP6" s="582"/>
      <c r="EZQ6" s="582"/>
      <c r="EZR6" s="582"/>
      <c r="EZS6" s="582"/>
      <c r="EZT6" s="582"/>
      <c r="EZU6" s="582"/>
      <c r="EZV6" s="582"/>
      <c r="EZW6" s="582"/>
      <c r="EZX6" s="582"/>
      <c r="EZY6" s="582"/>
      <c r="EZZ6" s="582"/>
      <c r="FAA6" s="582"/>
      <c r="FAB6" s="582"/>
      <c r="FAC6" s="582"/>
      <c r="FAD6" s="582"/>
      <c r="FAE6" s="582"/>
      <c r="FAF6" s="582"/>
      <c r="FAG6" s="582"/>
      <c r="FAH6" s="582"/>
      <c r="FAI6" s="582"/>
      <c r="FAJ6" s="582"/>
      <c r="FAK6" s="582"/>
      <c r="FAL6" s="582"/>
      <c r="FAM6" s="582"/>
      <c r="FAN6" s="582"/>
      <c r="FAO6" s="582"/>
      <c r="FAP6" s="582"/>
      <c r="FAQ6" s="582"/>
      <c r="FAR6" s="582"/>
      <c r="FAS6" s="582"/>
      <c r="FAT6" s="582"/>
      <c r="FAU6" s="582"/>
      <c r="FAV6" s="582"/>
      <c r="FAW6" s="582"/>
      <c r="FAX6" s="582"/>
      <c r="FAY6" s="582"/>
      <c r="FAZ6" s="582"/>
      <c r="FBA6" s="582"/>
      <c r="FBB6" s="582"/>
      <c r="FBC6" s="582"/>
      <c r="FBD6" s="582"/>
      <c r="FBE6" s="582"/>
      <c r="FBF6" s="582"/>
      <c r="FBG6" s="582"/>
      <c r="FBH6" s="582"/>
      <c r="FBI6" s="582"/>
      <c r="FBJ6" s="582"/>
      <c r="FBK6" s="582"/>
      <c r="FBL6" s="582"/>
      <c r="FBM6" s="582"/>
      <c r="FBN6" s="582"/>
      <c r="FBO6" s="582"/>
      <c r="FBP6" s="582"/>
      <c r="FBQ6" s="582"/>
      <c r="FBR6" s="582"/>
      <c r="FBS6" s="582"/>
      <c r="FBT6" s="582"/>
      <c r="FBU6" s="582"/>
      <c r="FBV6" s="582"/>
      <c r="FBW6" s="582"/>
      <c r="FBX6" s="582"/>
      <c r="FBY6" s="582"/>
      <c r="FBZ6" s="582"/>
      <c r="FCA6" s="582"/>
      <c r="FCB6" s="582"/>
      <c r="FCC6" s="582"/>
      <c r="FCD6" s="582"/>
      <c r="FCE6" s="582"/>
      <c r="FCF6" s="582"/>
      <c r="FCG6" s="582"/>
      <c r="FCH6" s="582"/>
      <c r="FCI6" s="582"/>
      <c r="FCJ6" s="582"/>
      <c r="FCK6" s="582"/>
      <c r="FCL6" s="582"/>
      <c r="FCM6" s="582"/>
      <c r="FCN6" s="582"/>
      <c r="FCO6" s="582"/>
      <c r="FCP6" s="582"/>
      <c r="FCQ6" s="582"/>
      <c r="FCR6" s="582"/>
      <c r="FCS6" s="582"/>
      <c r="FCT6" s="582"/>
      <c r="FCU6" s="582"/>
      <c r="FCV6" s="582"/>
      <c r="FCW6" s="582"/>
      <c r="FCX6" s="582"/>
      <c r="FCY6" s="582"/>
      <c r="FCZ6" s="582"/>
      <c r="FDA6" s="582"/>
      <c r="FDB6" s="582"/>
      <c r="FDC6" s="582"/>
      <c r="FDD6" s="582"/>
      <c r="FDE6" s="582"/>
      <c r="FDF6" s="582"/>
      <c r="FDG6" s="582"/>
      <c r="FDH6" s="582"/>
      <c r="FDI6" s="582"/>
      <c r="FDJ6" s="582"/>
      <c r="FDK6" s="582"/>
      <c r="FDL6" s="582"/>
      <c r="FDM6" s="582"/>
      <c r="FDN6" s="582"/>
      <c r="FDO6" s="582"/>
      <c r="FDP6" s="582"/>
      <c r="FDQ6" s="582"/>
      <c r="FDR6" s="582"/>
      <c r="FDS6" s="582"/>
      <c r="FDT6" s="582"/>
      <c r="FDU6" s="582"/>
      <c r="FDV6" s="582"/>
      <c r="FDW6" s="582"/>
      <c r="FDX6" s="582"/>
      <c r="FDY6" s="582"/>
      <c r="FDZ6" s="582"/>
      <c r="FEA6" s="582"/>
      <c r="FEB6" s="582"/>
      <c r="FEC6" s="582"/>
      <c r="FED6" s="582"/>
      <c r="FEE6" s="582"/>
      <c r="FEF6" s="582"/>
      <c r="FEG6" s="582"/>
      <c r="FEH6" s="582"/>
      <c r="FEI6" s="582"/>
      <c r="FEJ6" s="582"/>
      <c r="FEK6" s="582"/>
      <c r="FEL6" s="582"/>
      <c r="FEM6" s="582"/>
      <c r="FEN6" s="582"/>
      <c r="FEO6" s="582"/>
      <c r="FEP6" s="582"/>
      <c r="FEQ6" s="582"/>
      <c r="FER6" s="582"/>
      <c r="FES6" s="582"/>
      <c r="FET6" s="582"/>
      <c r="FEU6" s="582"/>
      <c r="FEV6" s="582"/>
      <c r="FEW6" s="582"/>
      <c r="FEX6" s="582"/>
      <c r="FEY6" s="582"/>
      <c r="FEZ6" s="582"/>
      <c r="FFA6" s="582"/>
      <c r="FFB6" s="582"/>
      <c r="FFC6" s="582"/>
      <c r="FFD6" s="582"/>
      <c r="FFE6" s="582"/>
      <c r="FFF6" s="582"/>
      <c r="FFG6" s="582"/>
      <c r="FFH6" s="582"/>
      <c r="FFI6" s="582"/>
      <c r="FFJ6" s="582"/>
      <c r="FFK6" s="582"/>
      <c r="FFL6" s="582"/>
      <c r="FFM6" s="582"/>
      <c r="FFN6" s="582"/>
      <c r="FFO6" s="582"/>
      <c r="FFP6" s="582"/>
      <c r="FFQ6" s="582"/>
      <c r="FFR6" s="582"/>
      <c r="FFS6" s="582"/>
      <c r="FFT6" s="582"/>
      <c r="FFU6" s="582"/>
      <c r="FFV6" s="582"/>
      <c r="FFW6" s="582"/>
      <c r="FFX6" s="582"/>
      <c r="FFY6" s="582"/>
      <c r="FFZ6" s="582"/>
      <c r="FGA6" s="582"/>
      <c r="FGB6" s="582"/>
      <c r="FGC6" s="582"/>
      <c r="FGD6" s="582"/>
      <c r="FGE6" s="582"/>
      <c r="FGF6" s="582"/>
      <c r="FGG6" s="582"/>
      <c r="FGH6" s="582"/>
      <c r="FGI6" s="582"/>
      <c r="FGJ6" s="582"/>
      <c r="FGK6" s="582"/>
      <c r="FGL6" s="582"/>
      <c r="FGM6" s="582"/>
      <c r="FGN6" s="582"/>
      <c r="FGO6" s="582"/>
      <c r="FGP6" s="582"/>
      <c r="FGQ6" s="582"/>
      <c r="FGR6" s="582"/>
      <c r="FGS6" s="582"/>
      <c r="FGT6" s="582"/>
      <c r="FGU6" s="582"/>
      <c r="FGV6" s="582"/>
      <c r="FGW6" s="582"/>
      <c r="FGX6" s="582"/>
      <c r="FGY6" s="582"/>
      <c r="FGZ6" s="582"/>
      <c r="FHA6" s="582"/>
      <c r="FHB6" s="582"/>
      <c r="FHC6" s="582"/>
      <c r="FHD6" s="582"/>
      <c r="FHE6" s="582"/>
      <c r="FHF6" s="582"/>
      <c r="FHG6" s="582"/>
      <c r="FHH6" s="582"/>
      <c r="FHI6" s="582"/>
      <c r="FHJ6" s="582"/>
      <c r="FHK6" s="582"/>
      <c r="FHL6" s="582"/>
      <c r="FHM6" s="582"/>
      <c r="FHN6" s="582"/>
      <c r="FHO6" s="582"/>
      <c r="FHP6" s="582"/>
      <c r="FHQ6" s="582"/>
      <c r="FHR6" s="582"/>
      <c r="FHS6" s="582"/>
      <c r="FHT6" s="582"/>
      <c r="FHU6" s="582"/>
      <c r="FHV6" s="582"/>
      <c r="FHW6" s="582"/>
      <c r="FHX6" s="582"/>
      <c r="FHY6" s="582"/>
      <c r="FHZ6" s="582"/>
      <c r="FIA6" s="582"/>
      <c r="FIB6" s="582"/>
      <c r="FIC6" s="582"/>
      <c r="FID6" s="582"/>
      <c r="FIE6" s="582"/>
      <c r="FIF6" s="582"/>
      <c r="FIG6" s="582"/>
      <c r="FIH6" s="582"/>
      <c r="FII6" s="582"/>
      <c r="FIJ6" s="582"/>
      <c r="FIK6" s="582"/>
      <c r="FIL6" s="582"/>
      <c r="FIM6" s="582"/>
      <c r="FIN6" s="582"/>
      <c r="FIO6" s="582"/>
      <c r="FIP6" s="582"/>
      <c r="FIQ6" s="582"/>
      <c r="FIR6" s="582"/>
      <c r="FIS6" s="582"/>
      <c r="FIT6" s="582"/>
      <c r="FIU6" s="582"/>
      <c r="FIV6" s="582"/>
      <c r="FIW6" s="582"/>
      <c r="FIX6" s="582"/>
      <c r="FIY6" s="582"/>
      <c r="FIZ6" s="582"/>
      <c r="FJA6" s="582"/>
      <c r="FJB6" s="582"/>
      <c r="FJC6" s="582"/>
      <c r="FJD6" s="582"/>
      <c r="FJE6" s="582"/>
      <c r="FJF6" s="582"/>
      <c r="FJG6" s="582"/>
      <c r="FJH6" s="582"/>
      <c r="FJI6" s="582"/>
      <c r="FJJ6" s="582"/>
      <c r="FJK6" s="582"/>
      <c r="FJL6" s="582"/>
      <c r="FJM6" s="582"/>
      <c r="FJN6" s="582"/>
      <c r="FJO6" s="582"/>
      <c r="FJP6" s="582"/>
      <c r="FJQ6" s="582"/>
      <c r="FJR6" s="582"/>
      <c r="FJS6" s="582"/>
      <c r="FJT6" s="582"/>
      <c r="FJU6" s="582"/>
      <c r="FJV6" s="582"/>
      <c r="FJW6" s="582"/>
      <c r="FJX6" s="582"/>
      <c r="FJY6" s="582"/>
      <c r="FJZ6" s="582"/>
      <c r="FKA6" s="582"/>
      <c r="FKB6" s="582"/>
      <c r="FKC6" s="582"/>
      <c r="FKD6" s="582"/>
      <c r="FKE6" s="582"/>
      <c r="FKF6" s="582"/>
      <c r="FKG6" s="582"/>
      <c r="FKH6" s="582"/>
      <c r="FKI6" s="582"/>
      <c r="FKJ6" s="582"/>
      <c r="FKK6" s="582"/>
      <c r="FKL6" s="582"/>
      <c r="FKM6" s="582"/>
      <c r="FKN6" s="582"/>
      <c r="FKO6" s="582"/>
      <c r="FKP6" s="582"/>
      <c r="FKQ6" s="582"/>
      <c r="FKR6" s="582"/>
      <c r="FKS6" s="582"/>
      <c r="FKT6" s="582"/>
      <c r="FKU6" s="582"/>
      <c r="FKV6" s="582"/>
      <c r="FKW6" s="582"/>
      <c r="FKX6" s="582"/>
      <c r="FKY6" s="582"/>
      <c r="FKZ6" s="582"/>
      <c r="FLA6" s="582"/>
      <c r="FLB6" s="582"/>
      <c r="FLC6" s="582"/>
      <c r="FLD6" s="582"/>
      <c r="FLE6" s="582"/>
      <c r="FLF6" s="582"/>
      <c r="FLG6" s="582"/>
      <c r="FLH6" s="582"/>
      <c r="FLI6" s="582"/>
      <c r="FLJ6" s="582"/>
      <c r="FLK6" s="582"/>
      <c r="FLL6" s="582"/>
      <c r="FLM6" s="582"/>
      <c r="FLN6" s="582"/>
      <c r="FLO6" s="582"/>
      <c r="FLP6" s="582"/>
      <c r="FLQ6" s="582"/>
      <c r="FLR6" s="582"/>
      <c r="FLS6" s="582"/>
      <c r="FLT6" s="582"/>
      <c r="FLU6" s="582"/>
      <c r="FLV6" s="582"/>
      <c r="FLW6" s="582"/>
      <c r="FLX6" s="582"/>
      <c r="FLY6" s="582"/>
      <c r="FLZ6" s="582"/>
      <c r="FMA6" s="582"/>
      <c r="FMB6" s="582"/>
      <c r="FMC6" s="582"/>
      <c r="FMD6" s="582"/>
      <c r="FME6" s="582"/>
      <c r="FMF6" s="582"/>
      <c r="FMG6" s="582"/>
      <c r="FMH6" s="582"/>
      <c r="FMI6" s="582"/>
      <c r="FMJ6" s="582"/>
      <c r="FMK6" s="582"/>
      <c r="FML6" s="582"/>
      <c r="FMM6" s="582"/>
      <c r="FMN6" s="582"/>
      <c r="FMO6" s="582"/>
      <c r="FMP6" s="582"/>
      <c r="FMQ6" s="582"/>
      <c r="FMR6" s="582"/>
      <c r="FMS6" s="582"/>
      <c r="FMT6" s="582"/>
      <c r="FMU6" s="582"/>
      <c r="FMV6" s="582"/>
      <c r="FMW6" s="582"/>
      <c r="FMX6" s="582"/>
      <c r="FMY6" s="582"/>
      <c r="FMZ6" s="582"/>
      <c r="FNA6" s="582"/>
      <c r="FNB6" s="582"/>
      <c r="FNC6" s="582"/>
      <c r="FND6" s="582"/>
      <c r="FNE6" s="582"/>
      <c r="FNF6" s="582"/>
      <c r="FNG6" s="582"/>
      <c r="FNH6" s="582"/>
      <c r="FNI6" s="582"/>
      <c r="FNJ6" s="582"/>
      <c r="FNK6" s="582"/>
      <c r="FNL6" s="582"/>
      <c r="FNM6" s="582"/>
      <c r="FNN6" s="582"/>
      <c r="FNO6" s="582"/>
      <c r="FNP6" s="582"/>
      <c r="FNQ6" s="582"/>
      <c r="FNR6" s="582"/>
      <c r="FNS6" s="582"/>
      <c r="FNT6" s="582"/>
      <c r="FNU6" s="582"/>
      <c r="FNV6" s="582"/>
      <c r="FNW6" s="582"/>
      <c r="FNX6" s="582"/>
      <c r="FNY6" s="582"/>
      <c r="FNZ6" s="582"/>
      <c r="FOA6" s="582"/>
      <c r="FOB6" s="582"/>
      <c r="FOC6" s="582"/>
      <c r="FOD6" s="582"/>
      <c r="FOE6" s="582"/>
      <c r="FOF6" s="582"/>
      <c r="FOG6" s="582"/>
      <c r="FOH6" s="582"/>
      <c r="FOI6" s="582"/>
      <c r="FOJ6" s="582"/>
      <c r="FOK6" s="582"/>
      <c r="FOL6" s="582"/>
      <c r="FOM6" s="582"/>
      <c r="FON6" s="582"/>
      <c r="FOO6" s="582"/>
      <c r="FOP6" s="582"/>
      <c r="FOQ6" s="582"/>
      <c r="FOR6" s="582"/>
      <c r="FOS6" s="582"/>
      <c r="FOT6" s="582"/>
      <c r="FOU6" s="582"/>
      <c r="FOV6" s="582"/>
      <c r="FOW6" s="582"/>
      <c r="FOX6" s="582"/>
      <c r="FOY6" s="582"/>
      <c r="FOZ6" s="582"/>
      <c r="FPA6" s="582"/>
      <c r="FPB6" s="582"/>
      <c r="FPC6" s="582"/>
      <c r="FPD6" s="582"/>
      <c r="FPE6" s="582"/>
      <c r="FPF6" s="582"/>
      <c r="FPG6" s="582"/>
      <c r="FPH6" s="582"/>
      <c r="FPI6" s="582"/>
      <c r="FPJ6" s="582"/>
      <c r="FPK6" s="582"/>
      <c r="FPL6" s="582"/>
      <c r="FPM6" s="582"/>
      <c r="FPN6" s="582"/>
      <c r="FPO6" s="582"/>
      <c r="FPP6" s="582"/>
      <c r="FPQ6" s="582"/>
      <c r="FPR6" s="582"/>
      <c r="FPS6" s="582"/>
      <c r="FPT6" s="582"/>
      <c r="FPU6" s="582"/>
      <c r="FPV6" s="582"/>
      <c r="FPW6" s="582"/>
      <c r="FPX6" s="582"/>
      <c r="FPY6" s="582"/>
      <c r="FPZ6" s="582"/>
      <c r="FQA6" s="582"/>
      <c r="FQB6" s="582"/>
      <c r="FQC6" s="582"/>
      <c r="FQD6" s="582"/>
      <c r="FQE6" s="582"/>
      <c r="FQF6" s="582"/>
      <c r="FQG6" s="582"/>
      <c r="FQH6" s="582"/>
      <c r="FQI6" s="582"/>
      <c r="FQJ6" s="582"/>
      <c r="FQK6" s="582"/>
      <c r="FQL6" s="582"/>
      <c r="FQM6" s="582"/>
      <c r="FQN6" s="582"/>
      <c r="FQO6" s="582"/>
      <c r="FQP6" s="582"/>
      <c r="FQQ6" s="582"/>
      <c r="FQR6" s="582"/>
      <c r="FQS6" s="582"/>
      <c r="FQT6" s="582"/>
      <c r="FQU6" s="582"/>
      <c r="FQV6" s="582"/>
      <c r="FQW6" s="582"/>
      <c r="FQX6" s="582"/>
      <c r="FQY6" s="582"/>
      <c r="FQZ6" s="582"/>
      <c r="FRA6" s="582"/>
      <c r="FRB6" s="582"/>
      <c r="FRC6" s="582"/>
      <c r="FRD6" s="582"/>
      <c r="FRE6" s="582"/>
      <c r="FRF6" s="582"/>
      <c r="FRG6" s="582"/>
      <c r="FRH6" s="582"/>
      <c r="FRI6" s="582"/>
      <c r="FRJ6" s="582"/>
      <c r="FRK6" s="582"/>
      <c r="FRL6" s="582"/>
      <c r="FRM6" s="582"/>
      <c r="FRN6" s="582"/>
      <c r="FRO6" s="582"/>
      <c r="FRP6" s="582"/>
      <c r="FRQ6" s="582"/>
      <c r="FRR6" s="582"/>
      <c r="FRS6" s="582"/>
      <c r="FRT6" s="582"/>
      <c r="FRU6" s="582"/>
      <c r="FRV6" s="582"/>
      <c r="FRW6" s="582"/>
      <c r="FRX6" s="582"/>
      <c r="FRY6" s="582"/>
      <c r="FRZ6" s="582"/>
      <c r="FSA6" s="582"/>
      <c r="FSB6" s="582"/>
      <c r="FSC6" s="582"/>
      <c r="FSD6" s="582"/>
      <c r="FSE6" s="582"/>
      <c r="FSF6" s="582"/>
      <c r="FSG6" s="582"/>
      <c r="FSH6" s="582"/>
      <c r="FSI6" s="582"/>
      <c r="FSJ6" s="582"/>
      <c r="FSK6" s="582"/>
      <c r="FSL6" s="582"/>
      <c r="FSM6" s="582"/>
      <c r="FSN6" s="582"/>
      <c r="FSO6" s="582"/>
      <c r="FSP6" s="582"/>
      <c r="FSQ6" s="582"/>
      <c r="FSR6" s="582"/>
      <c r="FSS6" s="582"/>
      <c r="FST6" s="582"/>
      <c r="FSU6" s="582"/>
      <c r="FSV6" s="582"/>
      <c r="FSW6" s="582"/>
      <c r="FSX6" s="582"/>
      <c r="FSY6" s="582"/>
      <c r="FSZ6" s="582"/>
      <c r="FTA6" s="582"/>
      <c r="FTB6" s="582"/>
      <c r="FTC6" s="582"/>
      <c r="FTD6" s="582"/>
      <c r="FTE6" s="582"/>
      <c r="FTF6" s="582"/>
      <c r="FTG6" s="582"/>
      <c r="FTH6" s="582"/>
      <c r="FTI6" s="582"/>
      <c r="FTJ6" s="582"/>
      <c r="FTK6" s="582"/>
      <c r="FTL6" s="582"/>
      <c r="FTM6" s="582"/>
      <c r="FTN6" s="582"/>
      <c r="FTO6" s="582"/>
      <c r="FTP6" s="582"/>
      <c r="FTQ6" s="582"/>
      <c r="FTR6" s="582"/>
      <c r="FTS6" s="582"/>
      <c r="FTT6" s="582"/>
      <c r="FTU6" s="582"/>
      <c r="FTV6" s="582"/>
      <c r="FTW6" s="582"/>
      <c r="FTX6" s="582"/>
      <c r="FTY6" s="582"/>
      <c r="FTZ6" s="582"/>
      <c r="FUA6" s="582"/>
      <c r="FUB6" s="582"/>
      <c r="FUC6" s="582"/>
      <c r="FUD6" s="582"/>
      <c r="FUE6" s="582"/>
      <c r="FUF6" s="582"/>
      <c r="FUG6" s="582"/>
      <c r="FUH6" s="582"/>
      <c r="FUI6" s="582"/>
      <c r="FUJ6" s="582"/>
      <c r="FUK6" s="582"/>
      <c r="FUL6" s="582"/>
      <c r="FUM6" s="582"/>
      <c r="FUN6" s="582"/>
      <c r="FUO6" s="582"/>
      <c r="FUP6" s="582"/>
      <c r="FUQ6" s="582"/>
      <c r="FUR6" s="582"/>
      <c r="FUS6" s="582"/>
      <c r="FUT6" s="582"/>
      <c r="FUU6" s="582"/>
      <c r="FUV6" s="582"/>
      <c r="FUW6" s="582"/>
      <c r="FUX6" s="582"/>
      <c r="FUY6" s="582"/>
      <c r="FUZ6" s="582"/>
      <c r="FVA6" s="582"/>
      <c r="FVB6" s="582"/>
      <c r="FVC6" s="582"/>
      <c r="FVD6" s="582"/>
      <c r="FVE6" s="582"/>
      <c r="FVF6" s="582"/>
      <c r="FVG6" s="582"/>
      <c r="FVH6" s="582"/>
      <c r="FVI6" s="582"/>
      <c r="FVJ6" s="582"/>
      <c r="FVK6" s="582"/>
      <c r="FVL6" s="582"/>
      <c r="FVM6" s="582"/>
      <c r="FVN6" s="582"/>
      <c r="FVO6" s="582"/>
      <c r="FVP6" s="582"/>
      <c r="FVQ6" s="582"/>
      <c r="FVR6" s="582"/>
      <c r="FVS6" s="582"/>
      <c r="FVT6" s="582"/>
      <c r="FVU6" s="582"/>
      <c r="FVV6" s="582"/>
      <c r="FVW6" s="582"/>
      <c r="FVX6" s="582"/>
      <c r="FVY6" s="582"/>
      <c r="FVZ6" s="582"/>
      <c r="FWA6" s="582"/>
      <c r="FWB6" s="582"/>
      <c r="FWC6" s="582"/>
      <c r="FWD6" s="582"/>
      <c r="FWE6" s="582"/>
      <c r="FWF6" s="582"/>
      <c r="FWG6" s="582"/>
      <c r="FWH6" s="582"/>
      <c r="FWI6" s="582"/>
      <c r="FWJ6" s="582"/>
      <c r="FWK6" s="582"/>
      <c r="FWL6" s="582"/>
      <c r="FWM6" s="582"/>
      <c r="FWN6" s="582"/>
      <c r="FWO6" s="582"/>
      <c r="FWP6" s="582"/>
      <c r="FWQ6" s="582"/>
      <c r="FWR6" s="582"/>
      <c r="FWS6" s="582"/>
      <c r="FWT6" s="582"/>
      <c r="FWU6" s="582"/>
      <c r="FWV6" s="582"/>
      <c r="FWW6" s="582"/>
      <c r="FWX6" s="582"/>
      <c r="FWY6" s="582"/>
      <c r="FWZ6" s="582"/>
      <c r="FXA6" s="582"/>
      <c r="FXB6" s="582"/>
      <c r="FXC6" s="582"/>
      <c r="FXD6" s="582"/>
      <c r="FXE6" s="582"/>
      <c r="FXF6" s="582"/>
      <c r="FXG6" s="582"/>
      <c r="FXH6" s="582"/>
      <c r="FXI6" s="582"/>
      <c r="FXJ6" s="582"/>
      <c r="FXK6" s="582"/>
      <c r="FXL6" s="582"/>
      <c r="FXM6" s="582"/>
      <c r="FXN6" s="582"/>
      <c r="FXO6" s="582"/>
      <c r="FXP6" s="582"/>
      <c r="FXQ6" s="582"/>
      <c r="FXR6" s="582"/>
      <c r="FXS6" s="582"/>
      <c r="FXT6" s="582"/>
      <c r="FXU6" s="582"/>
      <c r="FXV6" s="582"/>
      <c r="FXW6" s="582"/>
      <c r="FXX6" s="582"/>
      <c r="FXY6" s="582"/>
      <c r="FXZ6" s="582"/>
      <c r="FYA6" s="582"/>
      <c r="FYB6" s="582"/>
      <c r="FYC6" s="582"/>
      <c r="FYD6" s="582"/>
      <c r="FYE6" s="582"/>
      <c r="FYF6" s="582"/>
      <c r="FYG6" s="582"/>
      <c r="FYH6" s="582"/>
      <c r="FYI6" s="582"/>
      <c r="FYJ6" s="582"/>
      <c r="FYK6" s="582"/>
      <c r="FYL6" s="582"/>
      <c r="FYM6" s="582"/>
      <c r="FYN6" s="582"/>
      <c r="FYO6" s="582"/>
      <c r="FYP6" s="582"/>
      <c r="FYQ6" s="582"/>
      <c r="FYR6" s="582"/>
      <c r="FYS6" s="582"/>
      <c r="FYT6" s="582"/>
      <c r="FYU6" s="582"/>
      <c r="FYV6" s="582"/>
      <c r="FYW6" s="582"/>
      <c r="FYX6" s="582"/>
      <c r="FYY6" s="582"/>
      <c r="FYZ6" s="582"/>
      <c r="FZA6" s="582"/>
      <c r="FZB6" s="582"/>
      <c r="FZC6" s="582"/>
      <c r="FZD6" s="582"/>
      <c r="FZE6" s="582"/>
      <c r="FZF6" s="582"/>
      <c r="FZG6" s="582"/>
      <c r="FZH6" s="582"/>
      <c r="FZI6" s="582"/>
      <c r="FZJ6" s="582"/>
      <c r="FZK6" s="582"/>
      <c r="FZL6" s="582"/>
      <c r="FZM6" s="582"/>
      <c r="FZN6" s="582"/>
      <c r="FZO6" s="582"/>
      <c r="FZP6" s="582"/>
      <c r="FZQ6" s="582"/>
      <c r="FZR6" s="582"/>
      <c r="FZS6" s="582"/>
      <c r="FZT6" s="582"/>
      <c r="FZU6" s="582"/>
      <c r="FZV6" s="582"/>
      <c r="FZW6" s="582"/>
      <c r="FZX6" s="582"/>
      <c r="FZY6" s="582"/>
      <c r="FZZ6" s="582"/>
      <c r="GAA6" s="582"/>
      <c r="GAB6" s="582"/>
      <c r="GAC6" s="582"/>
      <c r="GAD6" s="582"/>
      <c r="GAE6" s="582"/>
      <c r="GAF6" s="582"/>
      <c r="GAG6" s="582"/>
      <c r="GAH6" s="582"/>
      <c r="GAI6" s="582"/>
      <c r="GAJ6" s="582"/>
      <c r="GAK6" s="582"/>
      <c r="GAL6" s="582"/>
      <c r="GAM6" s="582"/>
      <c r="GAN6" s="582"/>
      <c r="GAO6" s="582"/>
      <c r="GAP6" s="582"/>
      <c r="GAQ6" s="582"/>
      <c r="GAR6" s="582"/>
      <c r="GAS6" s="582"/>
      <c r="GAT6" s="582"/>
      <c r="GAU6" s="582"/>
      <c r="GAV6" s="582"/>
      <c r="GAW6" s="582"/>
      <c r="GAX6" s="582"/>
      <c r="GAY6" s="582"/>
      <c r="GAZ6" s="582"/>
      <c r="GBA6" s="582"/>
      <c r="GBB6" s="582"/>
      <c r="GBC6" s="582"/>
      <c r="GBD6" s="582"/>
      <c r="GBE6" s="582"/>
      <c r="GBF6" s="582"/>
      <c r="GBG6" s="582"/>
      <c r="GBH6" s="582"/>
      <c r="GBI6" s="582"/>
      <c r="GBJ6" s="582"/>
      <c r="GBK6" s="582"/>
      <c r="GBL6" s="582"/>
      <c r="GBM6" s="582"/>
      <c r="GBN6" s="582"/>
      <c r="GBO6" s="582"/>
      <c r="GBP6" s="582"/>
      <c r="GBQ6" s="582"/>
      <c r="GBR6" s="582"/>
      <c r="GBS6" s="582"/>
      <c r="GBT6" s="582"/>
      <c r="GBU6" s="582"/>
      <c r="GBV6" s="582"/>
      <c r="GBW6" s="582"/>
      <c r="GBX6" s="582"/>
      <c r="GBY6" s="582"/>
      <c r="GBZ6" s="582"/>
      <c r="GCA6" s="582"/>
      <c r="GCB6" s="582"/>
      <c r="GCC6" s="582"/>
      <c r="GCD6" s="582"/>
      <c r="GCE6" s="582"/>
      <c r="GCF6" s="582"/>
      <c r="GCG6" s="582"/>
      <c r="GCH6" s="582"/>
      <c r="GCI6" s="582"/>
      <c r="GCJ6" s="582"/>
      <c r="GCK6" s="582"/>
      <c r="GCL6" s="582"/>
      <c r="GCM6" s="582"/>
      <c r="GCN6" s="582"/>
      <c r="GCO6" s="582"/>
      <c r="GCP6" s="582"/>
      <c r="GCQ6" s="582"/>
      <c r="GCR6" s="582"/>
      <c r="GCS6" s="582"/>
      <c r="GCT6" s="582"/>
      <c r="GCU6" s="582"/>
      <c r="GCV6" s="582"/>
      <c r="GCW6" s="582"/>
      <c r="GCX6" s="582"/>
      <c r="GCY6" s="582"/>
      <c r="GCZ6" s="582"/>
      <c r="GDA6" s="582"/>
      <c r="GDB6" s="582"/>
      <c r="GDC6" s="582"/>
      <c r="GDD6" s="582"/>
      <c r="GDE6" s="582"/>
      <c r="GDF6" s="582"/>
      <c r="GDG6" s="582"/>
      <c r="GDH6" s="582"/>
      <c r="GDI6" s="582"/>
      <c r="GDJ6" s="582"/>
      <c r="GDK6" s="582"/>
      <c r="GDL6" s="582"/>
      <c r="GDM6" s="582"/>
      <c r="GDN6" s="582"/>
      <c r="GDO6" s="582"/>
      <c r="GDP6" s="582"/>
      <c r="GDQ6" s="582"/>
      <c r="GDR6" s="582"/>
      <c r="GDS6" s="582"/>
      <c r="GDT6" s="582"/>
      <c r="GDU6" s="582"/>
      <c r="GDV6" s="582"/>
      <c r="GDW6" s="582"/>
      <c r="GDX6" s="582"/>
      <c r="GDY6" s="582"/>
      <c r="GDZ6" s="582"/>
      <c r="GEA6" s="582"/>
      <c r="GEB6" s="582"/>
      <c r="GEC6" s="582"/>
      <c r="GED6" s="582"/>
      <c r="GEE6" s="582"/>
      <c r="GEF6" s="582"/>
      <c r="GEG6" s="582"/>
      <c r="GEH6" s="582"/>
      <c r="GEI6" s="582"/>
      <c r="GEJ6" s="582"/>
      <c r="GEK6" s="582"/>
      <c r="GEL6" s="582"/>
      <c r="GEM6" s="582"/>
      <c r="GEN6" s="582"/>
      <c r="GEO6" s="582"/>
      <c r="GEP6" s="582"/>
      <c r="GEQ6" s="582"/>
      <c r="GER6" s="582"/>
      <c r="GES6" s="582"/>
      <c r="GET6" s="582"/>
      <c r="GEU6" s="582"/>
      <c r="GEV6" s="582"/>
      <c r="GEW6" s="582"/>
      <c r="GEX6" s="582"/>
      <c r="GEY6" s="582"/>
      <c r="GEZ6" s="582"/>
      <c r="GFA6" s="582"/>
      <c r="GFB6" s="582"/>
      <c r="GFC6" s="582"/>
      <c r="GFD6" s="582"/>
      <c r="GFE6" s="582"/>
      <c r="GFF6" s="582"/>
      <c r="GFG6" s="582"/>
      <c r="GFH6" s="582"/>
      <c r="GFI6" s="582"/>
      <c r="GFJ6" s="582"/>
      <c r="GFK6" s="582"/>
      <c r="GFL6" s="582"/>
      <c r="GFM6" s="582"/>
      <c r="GFN6" s="582"/>
      <c r="GFO6" s="582"/>
      <c r="GFP6" s="582"/>
      <c r="GFQ6" s="582"/>
      <c r="GFR6" s="582"/>
      <c r="GFS6" s="582"/>
      <c r="GFT6" s="582"/>
      <c r="GFU6" s="582"/>
      <c r="GFV6" s="582"/>
      <c r="GFW6" s="582"/>
      <c r="GFX6" s="582"/>
      <c r="GFY6" s="582"/>
      <c r="GFZ6" s="582"/>
      <c r="GGA6" s="582"/>
      <c r="GGB6" s="582"/>
      <c r="GGC6" s="582"/>
      <c r="GGD6" s="582"/>
      <c r="GGE6" s="582"/>
      <c r="GGF6" s="582"/>
      <c r="GGG6" s="582"/>
      <c r="GGH6" s="582"/>
      <c r="GGI6" s="582"/>
      <c r="GGJ6" s="582"/>
      <c r="GGK6" s="582"/>
      <c r="GGL6" s="582"/>
      <c r="GGM6" s="582"/>
      <c r="GGN6" s="582"/>
      <c r="GGO6" s="582"/>
      <c r="GGP6" s="582"/>
      <c r="GGQ6" s="582"/>
      <c r="GGR6" s="582"/>
      <c r="GGS6" s="582"/>
      <c r="GGT6" s="582"/>
      <c r="GGU6" s="582"/>
      <c r="GGV6" s="582"/>
      <c r="GGW6" s="582"/>
      <c r="GGX6" s="582"/>
      <c r="GGY6" s="582"/>
      <c r="GGZ6" s="582"/>
      <c r="GHA6" s="582"/>
      <c r="GHB6" s="582"/>
      <c r="GHC6" s="582"/>
      <c r="GHD6" s="582"/>
      <c r="GHE6" s="582"/>
      <c r="GHF6" s="582"/>
      <c r="GHG6" s="582"/>
      <c r="GHH6" s="582"/>
      <c r="GHI6" s="582"/>
      <c r="GHJ6" s="582"/>
      <c r="GHK6" s="582"/>
      <c r="GHL6" s="582"/>
      <c r="GHM6" s="582"/>
      <c r="GHN6" s="582"/>
      <c r="GHO6" s="582"/>
      <c r="GHP6" s="582"/>
      <c r="GHQ6" s="582"/>
      <c r="GHR6" s="582"/>
      <c r="GHS6" s="582"/>
      <c r="GHT6" s="582"/>
      <c r="GHU6" s="582"/>
      <c r="GHV6" s="582"/>
      <c r="GHW6" s="582"/>
      <c r="GHX6" s="582"/>
      <c r="GHY6" s="582"/>
      <c r="GHZ6" s="582"/>
      <c r="GIA6" s="582"/>
      <c r="GIB6" s="582"/>
      <c r="GIC6" s="582"/>
      <c r="GID6" s="582"/>
      <c r="GIE6" s="582"/>
      <c r="GIF6" s="582"/>
      <c r="GIG6" s="582"/>
      <c r="GIH6" s="582"/>
      <c r="GII6" s="582"/>
      <c r="GIJ6" s="582"/>
      <c r="GIK6" s="582"/>
      <c r="GIL6" s="582"/>
      <c r="GIM6" s="582"/>
      <c r="GIN6" s="582"/>
      <c r="GIO6" s="582"/>
      <c r="GIP6" s="582"/>
      <c r="GIQ6" s="582"/>
      <c r="GIR6" s="582"/>
      <c r="GIS6" s="582"/>
      <c r="GIT6" s="582"/>
      <c r="GIU6" s="582"/>
      <c r="GIV6" s="582"/>
      <c r="GIW6" s="582"/>
      <c r="GIX6" s="582"/>
      <c r="GIY6" s="582"/>
      <c r="GIZ6" s="582"/>
      <c r="GJA6" s="582"/>
      <c r="GJB6" s="582"/>
      <c r="GJC6" s="582"/>
      <c r="GJD6" s="582"/>
      <c r="GJE6" s="582"/>
      <c r="GJF6" s="582"/>
      <c r="GJG6" s="582"/>
      <c r="GJH6" s="582"/>
      <c r="GJI6" s="582"/>
      <c r="GJJ6" s="582"/>
      <c r="GJK6" s="582"/>
      <c r="GJL6" s="582"/>
      <c r="GJM6" s="582"/>
      <c r="GJN6" s="582"/>
      <c r="GJO6" s="582"/>
      <c r="GJP6" s="582"/>
      <c r="GJQ6" s="582"/>
      <c r="GJR6" s="582"/>
      <c r="GJS6" s="582"/>
      <c r="GJT6" s="582"/>
      <c r="GJU6" s="582"/>
      <c r="GJV6" s="582"/>
      <c r="GJW6" s="582"/>
      <c r="GJX6" s="582"/>
      <c r="GJY6" s="582"/>
      <c r="GJZ6" s="582"/>
      <c r="GKA6" s="582"/>
      <c r="GKB6" s="582"/>
      <c r="GKC6" s="582"/>
      <c r="GKD6" s="582"/>
      <c r="GKE6" s="582"/>
      <c r="GKF6" s="582"/>
      <c r="GKG6" s="582"/>
      <c r="GKH6" s="582"/>
      <c r="GKI6" s="582"/>
      <c r="GKJ6" s="582"/>
      <c r="GKK6" s="582"/>
      <c r="GKL6" s="582"/>
      <c r="GKM6" s="582"/>
      <c r="GKN6" s="582"/>
      <c r="GKO6" s="582"/>
      <c r="GKP6" s="582"/>
      <c r="GKQ6" s="582"/>
      <c r="GKR6" s="582"/>
      <c r="GKS6" s="582"/>
      <c r="GKT6" s="582"/>
      <c r="GKU6" s="582"/>
      <c r="GKV6" s="582"/>
      <c r="GKW6" s="582"/>
      <c r="GKX6" s="582"/>
      <c r="GKY6" s="582"/>
      <c r="GKZ6" s="582"/>
      <c r="GLA6" s="582"/>
      <c r="GLB6" s="582"/>
      <c r="GLC6" s="582"/>
      <c r="GLD6" s="582"/>
      <c r="GLE6" s="582"/>
      <c r="GLF6" s="582"/>
      <c r="GLG6" s="582"/>
      <c r="GLH6" s="582"/>
      <c r="GLI6" s="582"/>
      <c r="GLJ6" s="582"/>
      <c r="GLK6" s="582"/>
      <c r="GLL6" s="582"/>
      <c r="GLM6" s="582"/>
      <c r="GLN6" s="582"/>
      <c r="GLO6" s="582"/>
      <c r="GLP6" s="582"/>
      <c r="GLQ6" s="582"/>
      <c r="GLR6" s="582"/>
      <c r="GLS6" s="582"/>
      <c r="GLT6" s="582"/>
      <c r="GLU6" s="582"/>
      <c r="GLV6" s="582"/>
      <c r="GLW6" s="582"/>
      <c r="GLX6" s="582"/>
      <c r="GLY6" s="582"/>
      <c r="GLZ6" s="582"/>
      <c r="GMA6" s="582"/>
      <c r="GMB6" s="582"/>
      <c r="GMC6" s="582"/>
      <c r="GMD6" s="582"/>
      <c r="GME6" s="582"/>
      <c r="GMF6" s="582"/>
      <c r="GMG6" s="582"/>
      <c r="GMH6" s="582"/>
      <c r="GMI6" s="582"/>
      <c r="GMJ6" s="582"/>
      <c r="GMK6" s="582"/>
      <c r="GML6" s="582"/>
      <c r="GMM6" s="582"/>
      <c r="GMN6" s="582"/>
      <c r="GMO6" s="582"/>
      <c r="GMP6" s="582"/>
      <c r="GMQ6" s="582"/>
      <c r="GMR6" s="582"/>
      <c r="GMS6" s="582"/>
      <c r="GMT6" s="582"/>
      <c r="GMU6" s="582"/>
      <c r="GMV6" s="582"/>
      <c r="GMW6" s="582"/>
      <c r="GMX6" s="582"/>
      <c r="GMY6" s="582"/>
      <c r="GMZ6" s="582"/>
      <c r="GNA6" s="582"/>
      <c r="GNB6" s="582"/>
      <c r="GNC6" s="582"/>
      <c r="GND6" s="582"/>
      <c r="GNE6" s="582"/>
      <c r="GNF6" s="582"/>
      <c r="GNG6" s="582"/>
      <c r="GNH6" s="582"/>
      <c r="GNI6" s="582"/>
      <c r="GNJ6" s="582"/>
      <c r="GNK6" s="582"/>
      <c r="GNL6" s="582"/>
      <c r="GNM6" s="582"/>
      <c r="GNN6" s="582"/>
      <c r="GNO6" s="582"/>
      <c r="GNP6" s="582"/>
      <c r="GNQ6" s="582"/>
      <c r="GNR6" s="582"/>
      <c r="GNS6" s="582"/>
      <c r="GNT6" s="582"/>
      <c r="GNU6" s="582"/>
      <c r="GNV6" s="582"/>
      <c r="GNW6" s="582"/>
      <c r="GNX6" s="582"/>
      <c r="GNY6" s="582"/>
      <c r="GNZ6" s="582"/>
      <c r="GOA6" s="582"/>
      <c r="GOB6" s="582"/>
      <c r="GOC6" s="582"/>
      <c r="GOD6" s="582"/>
      <c r="GOE6" s="582"/>
      <c r="GOF6" s="582"/>
      <c r="GOG6" s="582"/>
      <c r="GOH6" s="582"/>
      <c r="GOI6" s="582"/>
      <c r="GOJ6" s="582"/>
      <c r="GOK6" s="582"/>
      <c r="GOL6" s="582"/>
      <c r="GOM6" s="582"/>
      <c r="GON6" s="582"/>
      <c r="GOO6" s="582"/>
      <c r="GOP6" s="582"/>
      <c r="GOQ6" s="582"/>
      <c r="GOR6" s="582"/>
      <c r="GOS6" s="582"/>
      <c r="GOT6" s="582"/>
      <c r="GOU6" s="582"/>
      <c r="GOV6" s="582"/>
      <c r="GOW6" s="582"/>
      <c r="GOX6" s="582"/>
      <c r="GOY6" s="582"/>
      <c r="GOZ6" s="582"/>
      <c r="GPA6" s="582"/>
      <c r="GPB6" s="582"/>
      <c r="GPC6" s="582"/>
      <c r="GPD6" s="582"/>
      <c r="GPE6" s="582"/>
      <c r="GPF6" s="582"/>
      <c r="GPG6" s="582"/>
      <c r="GPH6" s="582"/>
      <c r="GPI6" s="582"/>
      <c r="GPJ6" s="582"/>
      <c r="GPK6" s="582"/>
      <c r="GPL6" s="582"/>
      <c r="GPM6" s="582"/>
      <c r="GPN6" s="582"/>
      <c r="GPO6" s="582"/>
      <c r="GPP6" s="582"/>
      <c r="GPQ6" s="582"/>
      <c r="GPR6" s="582"/>
      <c r="GPS6" s="582"/>
      <c r="GPT6" s="582"/>
      <c r="GPU6" s="582"/>
      <c r="GPV6" s="582"/>
      <c r="GPW6" s="582"/>
      <c r="GPX6" s="582"/>
      <c r="GPY6" s="582"/>
      <c r="GPZ6" s="582"/>
      <c r="GQA6" s="582"/>
      <c r="GQB6" s="582"/>
      <c r="GQC6" s="582"/>
      <c r="GQD6" s="582"/>
      <c r="GQE6" s="582"/>
      <c r="GQF6" s="582"/>
      <c r="GQG6" s="582"/>
      <c r="GQH6" s="582"/>
      <c r="GQI6" s="582"/>
      <c r="GQJ6" s="582"/>
      <c r="GQK6" s="582"/>
      <c r="GQL6" s="582"/>
      <c r="GQM6" s="582"/>
      <c r="GQN6" s="582"/>
      <c r="GQO6" s="582"/>
      <c r="GQP6" s="582"/>
      <c r="GQQ6" s="582"/>
      <c r="GQR6" s="582"/>
      <c r="GQS6" s="582"/>
      <c r="GQT6" s="582"/>
      <c r="GQU6" s="582"/>
      <c r="GQV6" s="582"/>
      <c r="GQW6" s="582"/>
      <c r="GQX6" s="582"/>
      <c r="GQY6" s="582"/>
      <c r="GQZ6" s="582"/>
      <c r="GRA6" s="582"/>
      <c r="GRB6" s="582"/>
      <c r="GRC6" s="582"/>
      <c r="GRD6" s="582"/>
      <c r="GRE6" s="582"/>
      <c r="GRF6" s="582"/>
      <c r="GRG6" s="582"/>
      <c r="GRH6" s="582"/>
      <c r="GRI6" s="582"/>
      <c r="GRJ6" s="582"/>
      <c r="GRK6" s="582"/>
      <c r="GRL6" s="582"/>
      <c r="GRM6" s="582"/>
      <c r="GRN6" s="582"/>
      <c r="GRO6" s="582"/>
      <c r="GRP6" s="582"/>
      <c r="GRQ6" s="582"/>
      <c r="GRR6" s="582"/>
      <c r="GRS6" s="582"/>
      <c r="GRT6" s="582"/>
      <c r="GRU6" s="582"/>
      <c r="GRV6" s="582"/>
      <c r="GRW6" s="582"/>
      <c r="GRX6" s="582"/>
      <c r="GRY6" s="582"/>
      <c r="GRZ6" s="582"/>
      <c r="GSA6" s="582"/>
      <c r="GSB6" s="582"/>
      <c r="GSC6" s="582"/>
      <c r="GSD6" s="582"/>
      <c r="GSE6" s="582"/>
      <c r="GSF6" s="582"/>
      <c r="GSG6" s="582"/>
      <c r="GSH6" s="582"/>
      <c r="GSI6" s="582"/>
      <c r="GSJ6" s="582"/>
      <c r="GSK6" s="582"/>
      <c r="GSL6" s="582"/>
      <c r="GSM6" s="582"/>
      <c r="GSN6" s="582"/>
      <c r="GSO6" s="582"/>
      <c r="GSP6" s="582"/>
      <c r="GSQ6" s="582"/>
      <c r="GSR6" s="582"/>
      <c r="GSS6" s="582"/>
      <c r="GST6" s="582"/>
      <c r="GSU6" s="582"/>
      <c r="GSV6" s="582"/>
      <c r="GSW6" s="582"/>
      <c r="GSX6" s="582"/>
      <c r="GSY6" s="582"/>
      <c r="GSZ6" s="582"/>
      <c r="GTA6" s="582"/>
      <c r="GTB6" s="582"/>
      <c r="GTC6" s="582"/>
      <c r="GTD6" s="582"/>
      <c r="GTE6" s="582"/>
      <c r="GTF6" s="582"/>
      <c r="GTG6" s="582"/>
      <c r="GTH6" s="582"/>
      <c r="GTI6" s="582"/>
      <c r="GTJ6" s="582"/>
      <c r="GTK6" s="582"/>
      <c r="GTL6" s="582"/>
      <c r="GTM6" s="582"/>
      <c r="GTN6" s="582"/>
      <c r="GTO6" s="582"/>
      <c r="GTP6" s="582"/>
      <c r="GTQ6" s="582"/>
      <c r="GTR6" s="582"/>
      <c r="GTS6" s="582"/>
      <c r="GTT6" s="582"/>
      <c r="GTU6" s="582"/>
      <c r="GTV6" s="582"/>
      <c r="GTW6" s="582"/>
      <c r="GTX6" s="582"/>
      <c r="GTY6" s="582"/>
      <c r="GTZ6" s="582"/>
      <c r="GUA6" s="582"/>
      <c r="GUB6" s="582"/>
      <c r="GUC6" s="582"/>
    </row>
    <row r="7" spans="1:5281" ht="19.5">
      <c r="A7" s="594">
        <v>4</v>
      </c>
      <c r="B7" s="595" t="s">
        <v>773</v>
      </c>
      <c r="C7" s="599">
        <v>2011400</v>
      </c>
      <c r="D7" s="597" t="s">
        <v>2017</v>
      </c>
      <c r="E7" s="597" t="s">
        <v>2017</v>
      </c>
      <c r="F7" s="598">
        <f t="shared" si="0"/>
        <v>2011400</v>
      </c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582"/>
      <c r="AQ7" s="582"/>
      <c r="AR7" s="582"/>
      <c r="AS7" s="582"/>
      <c r="AT7" s="582"/>
      <c r="AU7" s="582"/>
      <c r="AV7" s="582"/>
      <c r="AW7" s="582"/>
      <c r="AX7" s="582"/>
      <c r="AY7" s="582"/>
      <c r="AZ7" s="582"/>
      <c r="BA7" s="582"/>
      <c r="BB7" s="582"/>
      <c r="BC7" s="582"/>
      <c r="BD7" s="582"/>
      <c r="BE7" s="582"/>
      <c r="BF7" s="582"/>
      <c r="BG7" s="582"/>
      <c r="BH7" s="582"/>
      <c r="BI7" s="582"/>
      <c r="BJ7" s="582"/>
      <c r="BK7" s="582"/>
      <c r="BL7" s="582"/>
      <c r="BM7" s="582"/>
      <c r="BN7" s="582"/>
      <c r="BO7" s="582"/>
      <c r="BP7" s="582"/>
      <c r="BQ7" s="582"/>
      <c r="BR7" s="582"/>
      <c r="BS7" s="582"/>
      <c r="BT7" s="582"/>
      <c r="BU7" s="582"/>
      <c r="BV7" s="582"/>
      <c r="BW7" s="582"/>
      <c r="BX7" s="582"/>
      <c r="BY7" s="582"/>
      <c r="BZ7" s="582"/>
      <c r="CA7" s="582"/>
      <c r="CB7" s="582"/>
      <c r="CC7" s="582"/>
      <c r="CD7" s="582"/>
      <c r="CE7" s="582"/>
      <c r="CF7" s="582"/>
      <c r="CG7" s="582"/>
      <c r="CH7" s="582"/>
      <c r="CI7" s="582"/>
      <c r="CJ7" s="582"/>
      <c r="CK7" s="582"/>
      <c r="CL7" s="582"/>
      <c r="CM7" s="582"/>
      <c r="CN7" s="582"/>
      <c r="CO7" s="582"/>
      <c r="CP7" s="582"/>
      <c r="CQ7" s="582"/>
      <c r="CR7" s="582"/>
      <c r="CS7" s="582"/>
      <c r="CT7" s="582"/>
      <c r="CU7" s="582"/>
      <c r="CV7" s="582"/>
      <c r="CW7" s="582"/>
      <c r="CX7" s="582"/>
      <c r="CY7" s="582"/>
      <c r="CZ7" s="582"/>
      <c r="DA7" s="582"/>
      <c r="DB7" s="582"/>
      <c r="DC7" s="582"/>
      <c r="DD7" s="582"/>
      <c r="DE7" s="582"/>
      <c r="DF7" s="582"/>
      <c r="DG7" s="582"/>
      <c r="DH7" s="582"/>
      <c r="DI7" s="582"/>
      <c r="DJ7" s="582"/>
      <c r="DK7" s="582"/>
      <c r="DL7" s="582"/>
      <c r="DM7" s="582"/>
      <c r="DN7" s="582"/>
      <c r="DO7" s="582"/>
      <c r="DP7" s="582"/>
      <c r="DQ7" s="582"/>
      <c r="DR7" s="582"/>
      <c r="DS7" s="582"/>
      <c r="DT7" s="582"/>
      <c r="DU7" s="582"/>
      <c r="DV7" s="582"/>
      <c r="DW7" s="582"/>
      <c r="DX7" s="582"/>
      <c r="DY7" s="582"/>
      <c r="DZ7" s="582"/>
      <c r="EA7" s="582"/>
      <c r="EB7" s="582"/>
      <c r="EC7" s="582"/>
      <c r="ED7" s="582"/>
      <c r="EE7" s="582"/>
      <c r="EF7" s="582"/>
      <c r="EG7" s="582"/>
      <c r="EH7" s="582"/>
      <c r="EI7" s="582"/>
      <c r="EJ7" s="582"/>
      <c r="EK7" s="582"/>
      <c r="EL7" s="582"/>
      <c r="EM7" s="582"/>
      <c r="EN7" s="582"/>
      <c r="EO7" s="582"/>
      <c r="EP7" s="582"/>
      <c r="EQ7" s="582"/>
      <c r="ER7" s="582"/>
      <c r="ES7" s="582"/>
      <c r="ET7" s="582"/>
      <c r="EU7" s="582"/>
      <c r="EV7" s="582"/>
      <c r="EW7" s="582"/>
      <c r="EX7" s="582"/>
      <c r="EY7" s="582"/>
      <c r="EZ7" s="582"/>
      <c r="FA7" s="582"/>
      <c r="FB7" s="582"/>
      <c r="FC7" s="582"/>
      <c r="FD7" s="582"/>
      <c r="FE7" s="582"/>
      <c r="FF7" s="582"/>
      <c r="FG7" s="582"/>
      <c r="FH7" s="582"/>
      <c r="FI7" s="582"/>
      <c r="FJ7" s="582"/>
      <c r="FK7" s="582"/>
      <c r="FL7" s="582"/>
      <c r="FM7" s="582"/>
      <c r="FN7" s="582"/>
      <c r="FO7" s="582"/>
      <c r="FP7" s="582"/>
      <c r="FQ7" s="582"/>
      <c r="FR7" s="582"/>
      <c r="FS7" s="582"/>
      <c r="FT7" s="582"/>
      <c r="FU7" s="582"/>
      <c r="FV7" s="582"/>
      <c r="FW7" s="582"/>
      <c r="FX7" s="582"/>
      <c r="FY7" s="582"/>
      <c r="FZ7" s="582"/>
      <c r="GA7" s="582"/>
      <c r="GB7" s="582"/>
      <c r="GC7" s="582"/>
      <c r="GD7" s="582"/>
      <c r="GE7" s="582"/>
      <c r="GF7" s="582"/>
      <c r="GG7" s="582"/>
      <c r="GH7" s="582"/>
      <c r="GI7" s="582"/>
      <c r="GJ7" s="582"/>
      <c r="GK7" s="582"/>
      <c r="GL7" s="582"/>
      <c r="GM7" s="582"/>
      <c r="GN7" s="582"/>
      <c r="GO7" s="582"/>
      <c r="GP7" s="582"/>
      <c r="GQ7" s="582"/>
      <c r="GR7" s="582"/>
      <c r="GS7" s="582"/>
      <c r="GT7" s="582"/>
      <c r="GU7" s="582"/>
      <c r="GV7" s="582"/>
      <c r="GW7" s="582"/>
      <c r="GX7" s="582"/>
      <c r="GY7" s="582"/>
      <c r="GZ7" s="582"/>
      <c r="HA7" s="582"/>
      <c r="HB7" s="582"/>
      <c r="HC7" s="582"/>
      <c r="HD7" s="582"/>
      <c r="HE7" s="582"/>
      <c r="HF7" s="582"/>
      <c r="HG7" s="582"/>
      <c r="HH7" s="582"/>
      <c r="HI7" s="582"/>
      <c r="HJ7" s="582"/>
      <c r="HK7" s="582"/>
      <c r="HL7" s="582"/>
      <c r="HM7" s="582"/>
      <c r="HN7" s="582"/>
      <c r="HO7" s="582"/>
      <c r="HP7" s="582"/>
      <c r="HQ7" s="582"/>
      <c r="HR7" s="582"/>
      <c r="HS7" s="582"/>
      <c r="HT7" s="582"/>
      <c r="HU7" s="582"/>
      <c r="HV7" s="582"/>
      <c r="HW7" s="582"/>
      <c r="HX7" s="582"/>
      <c r="HY7" s="582"/>
      <c r="HZ7" s="582"/>
      <c r="IA7" s="582"/>
      <c r="IB7" s="582"/>
      <c r="IC7" s="582"/>
      <c r="ID7" s="582"/>
      <c r="IE7" s="582"/>
      <c r="IF7" s="582"/>
      <c r="IG7" s="582"/>
      <c r="IH7" s="582"/>
      <c r="II7" s="582"/>
      <c r="IJ7" s="582"/>
      <c r="IK7" s="582"/>
      <c r="IL7" s="582"/>
      <c r="IM7" s="582"/>
      <c r="IN7" s="582"/>
      <c r="IO7" s="582"/>
      <c r="IP7" s="582"/>
      <c r="IQ7" s="582"/>
      <c r="IR7" s="582"/>
      <c r="IS7" s="582"/>
      <c r="IT7" s="582"/>
      <c r="IU7" s="582"/>
      <c r="IV7" s="582"/>
      <c r="IW7" s="582"/>
      <c r="IX7" s="582"/>
      <c r="IY7" s="582"/>
      <c r="IZ7" s="582"/>
      <c r="JA7" s="582"/>
      <c r="JB7" s="582"/>
      <c r="JC7" s="582"/>
      <c r="JD7" s="582"/>
      <c r="JE7" s="582"/>
      <c r="JF7" s="582"/>
      <c r="JG7" s="582"/>
      <c r="JH7" s="582"/>
      <c r="JI7" s="582"/>
      <c r="JJ7" s="582"/>
      <c r="JK7" s="582"/>
      <c r="JL7" s="582"/>
      <c r="JM7" s="582"/>
      <c r="JN7" s="582"/>
      <c r="JO7" s="582"/>
      <c r="JP7" s="582"/>
      <c r="JQ7" s="582"/>
      <c r="JR7" s="582"/>
      <c r="JS7" s="582"/>
      <c r="JT7" s="582"/>
      <c r="JU7" s="582"/>
      <c r="JV7" s="582"/>
      <c r="JW7" s="582"/>
      <c r="JX7" s="582"/>
      <c r="JY7" s="582"/>
      <c r="JZ7" s="582"/>
      <c r="KA7" s="582"/>
      <c r="KB7" s="582"/>
      <c r="KC7" s="582"/>
      <c r="KD7" s="582"/>
      <c r="KE7" s="582"/>
      <c r="KF7" s="582"/>
      <c r="KG7" s="582"/>
      <c r="KH7" s="582"/>
      <c r="KI7" s="582"/>
      <c r="KJ7" s="582"/>
      <c r="KK7" s="582"/>
      <c r="KL7" s="582"/>
      <c r="KM7" s="582"/>
      <c r="KN7" s="582"/>
      <c r="KO7" s="582"/>
      <c r="KP7" s="582"/>
      <c r="KQ7" s="582"/>
      <c r="KR7" s="582"/>
      <c r="KS7" s="582"/>
      <c r="KT7" s="582"/>
      <c r="KU7" s="582"/>
      <c r="KV7" s="582"/>
      <c r="KW7" s="582"/>
      <c r="KX7" s="582"/>
      <c r="KY7" s="582"/>
      <c r="KZ7" s="582"/>
      <c r="LA7" s="582"/>
      <c r="LB7" s="582"/>
      <c r="LC7" s="582"/>
      <c r="LD7" s="582"/>
      <c r="LE7" s="582"/>
      <c r="LF7" s="582"/>
      <c r="LG7" s="582"/>
      <c r="LH7" s="582"/>
      <c r="LI7" s="582"/>
      <c r="LJ7" s="582"/>
      <c r="LK7" s="582"/>
      <c r="LL7" s="582"/>
      <c r="LM7" s="582"/>
      <c r="LN7" s="582"/>
      <c r="LO7" s="582"/>
      <c r="LP7" s="582"/>
      <c r="LQ7" s="582"/>
      <c r="LR7" s="582"/>
      <c r="LS7" s="582"/>
      <c r="LT7" s="582"/>
      <c r="LU7" s="582"/>
      <c r="LV7" s="582"/>
      <c r="LW7" s="582"/>
      <c r="LX7" s="582"/>
      <c r="LY7" s="582"/>
      <c r="LZ7" s="582"/>
      <c r="MA7" s="582"/>
      <c r="MB7" s="582"/>
      <c r="MC7" s="582"/>
      <c r="MD7" s="582"/>
      <c r="ME7" s="582"/>
      <c r="MF7" s="582"/>
      <c r="MG7" s="582"/>
      <c r="MH7" s="582"/>
      <c r="MI7" s="582"/>
      <c r="MJ7" s="582"/>
      <c r="MK7" s="582"/>
      <c r="ML7" s="582"/>
      <c r="MM7" s="582"/>
      <c r="MN7" s="582"/>
      <c r="MO7" s="582"/>
      <c r="MP7" s="582"/>
      <c r="MQ7" s="582"/>
      <c r="MR7" s="582"/>
      <c r="MS7" s="582"/>
      <c r="MT7" s="582"/>
      <c r="MU7" s="582"/>
      <c r="MV7" s="582"/>
      <c r="MW7" s="582"/>
      <c r="MX7" s="582"/>
      <c r="MY7" s="582"/>
      <c r="MZ7" s="582"/>
      <c r="NA7" s="582"/>
      <c r="NB7" s="582"/>
      <c r="NC7" s="582"/>
      <c r="ND7" s="582"/>
      <c r="NE7" s="582"/>
      <c r="NF7" s="582"/>
      <c r="NG7" s="582"/>
      <c r="NH7" s="582"/>
      <c r="NI7" s="582"/>
      <c r="NJ7" s="582"/>
      <c r="NK7" s="582"/>
      <c r="NL7" s="582"/>
      <c r="NM7" s="582"/>
      <c r="NN7" s="582"/>
      <c r="NO7" s="582"/>
      <c r="NP7" s="582"/>
      <c r="NQ7" s="582"/>
      <c r="NR7" s="582"/>
      <c r="NS7" s="582"/>
      <c r="NT7" s="582"/>
      <c r="NU7" s="582"/>
      <c r="NV7" s="582"/>
      <c r="NW7" s="582"/>
      <c r="NX7" s="582"/>
      <c r="NY7" s="582"/>
      <c r="NZ7" s="582"/>
      <c r="OA7" s="582"/>
      <c r="OB7" s="582"/>
      <c r="OC7" s="582"/>
      <c r="OD7" s="582"/>
      <c r="OE7" s="582"/>
      <c r="OF7" s="582"/>
      <c r="OG7" s="582"/>
      <c r="OH7" s="582"/>
      <c r="OI7" s="582"/>
      <c r="OJ7" s="582"/>
      <c r="OK7" s="582"/>
      <c r="OL7" s="582"/>
      <c r="OM7" s="582"/>
      <c r="ON7" s="582"/>
      <c r="OO7" s="582"/>
      <c r="OP7" s="582"/>
      <c r="OQ7" s="582"/>
      <c r="OR7" s="582"/>
      <c r="OS7" s="582"/>
      <c r="OT7" s="582"/>
      <c r="OU7" s="582"/>
      <c r="OV7" s="582"/>
      <c r="OW7" s="582"/>
      <c r="OX7" s="582"/>
      <c r="OY7" s="582"/>
      <c r="OZ7" s="582"/>
      <c r="PA7" s="582"/>
      <c r="PB7" s="582"/>
      <c r="PC7" s="582"/>
      <c r="PD7" s="582"/>
      <c r="PE7" s="582"/>
      <c r="PF7" s="582"/>
      <c r="PG7" s="582"/>
      <c r="PH7" s="582"/>
      <c r="PI7" s="582"/>
      <c r="PJ7" s="582"/>
      <c r="PK7" s="582"/>
      <c r="PL7" s="582"/>
      <c r="PM7" s="582"/>
      <c r="PN7" s="582"/>
      <c r="PO7" s="582"/>
      <c r="PP7" s="582"/>
      <c r="PQ7" s="582"/>
      <c r="PR7" s="582"/>
      <c r="PS7" s="582"/>
      <c r="PT7" s="582"/>
      <c r="PU7" s="582"/>
      <c r="PV7" s="582"/>
      <c r="PW7" s="582"/>
      <c r="PX7" s="582"/>
      <c r="PY7" s="582"/>
      <c r="PZ7" s="582"/>
      <c r="QA7" s="582"/>
      <c r="QB7" s="582"/>
      <c r="QC7" s="582"/>
      <c r="QD7" s="582"/>
      <c r="QE7" s="582"/>
      <c r="QF7" s="582"/>
      <c r="QG7" s="582"/>
      <c r="QH7" s="582"/>
      <c r="QI7" s="582"/>
      <c r="QJ7" s="582"/>
      <c r="QK7" s="582"/>
      <c r="QL7" s="582"/>
      <c r="QM7" s="582"/>
      <c r="QN7" s="582"/>
      <c r="QO7" s="582"/>
      <c r="QP7" s="582"/>
      <c r="QQ7" s="582"/>
      <c r="QR7" s="582"/>
      <c r="QS7" s="582"/>
      <c r="QT7" s="582"/>
      <c r="QU7" s="582"/>
      <c r="QV7" s="582"/>
      <c r="QW7" s="582"/>
      <c r="QX7" s="582"/>
      <c r="QY7" s="582"/>
      <c r="QZ7" s="582"/>
      <c r="RA7" s="582"/>
      <c r="RB7" s="582"/>
      <c r="RC7" s="582"/>
      <c r="RD7" s="582"/>
      <c r="RE7" s="582"/>
      <c r="RF7" s="582"/>
      <c r="RG7" s="582"/>
      <c r="RH7" s="582"/>
      <c r="RI7" s="582"/>
      <c r="RJ7" s="582"/>
      <c r="RK7" s="582"/>
      <c r="RL7" s="582"/>
      <c r="RM7" s="582"/>
      <c r="RN7" s="582"/>
      <c r="RO7" s="582"/>
      <c r="RP7" s="582"/>
      <c r="RQ7" s="582"/>
      <c r="RR7" s="582"/>
      <c r="RS7" s="582"/>
      <c r="RT7" s="582"/>
      <c r="RU7" s="582"/>
      <c r="RV7" s="582"/>
      <c r="RW7" s="582"/>
      <c r="RX7" s="582"/>
      <c r="RY7" s="582"/>
      <c r="RZ7" s="582"/>
      <c r="SA7" s="582"/>
      <c r="SB7" s="582"/>
      <c r="SC7" s="582"/>
      <c r="SD7" s="582"/>
      <c r="SE7" s="582"/>
      <c r="SF7" s="582"/>
      <c r="SG7" s="582"/>
      <c r="SH7" s="582"/>
      <c r="SI7" s="582"/>
      <c r="SJ7" s="582"/>
      <c r="SK7" s="582"/>
      <c r="SL7" s="582"/>
      <c r="SM7" s="582"/>
      <c r="SN7" s="582"/>
      <c r="SO7" s="582"/>
      <c r="SP7" s="582"/>
      <c r="SQ7" s="582"/>
      <c r="SR7" s="582"/>
      <c r="SS7" s="582"/>
      <c r="ST7" s="582"/>
      <c r="SU7" s="582"/>
      <c r="SV7" s="582"/>
      <c r="SW7" s="582"/>
      <c r="SX7" s="582"/>
      <c r="SY7" s="582"/>
      <c r="SZ7" s="582"/>
      <c r="TA7" s="582"/>
      <c r="TB7" s="582"/>
      <c r="TC7" s="582"/>
      <c r="TD7" s="582"/>
      <c r="TE7" s="582"/>
      <c r="TF7" s="582"/>
      <c r="TG7" s="582"/>
      <c r="TH7" s="582"/>
      <c r="TI7" s="582"/>
      <c r="TJ7" s="582"/>
      <c r="TK7" s="582"/>
      <c r="TL7" s="582"/>
      <c r="TM7" s="582"/>
      <c r="TN7" s="582"/>
      <c r="TO7" s="582"/>
      <c r="TP7" s="582"/>
      <c r="TQ7" s="582"/>
      <c r="TR7" s="582"/>
      <c r="TS7" s="582"/>
      <c r="TT7" s="582"/>
      <c r="TU7" s="582"/>
      <c r="TV7" s="582"/>
      <c r="TW7" s="582"/>
      <c r="TX7" s="582"/>
      <c r="TY7" s="582"/>
      <c r="TZ7" s="582"/>
      <c r="UA7" s="582"/>
      <c r="UB7" s="582"/>
      <c r="UC7" s="582"/>
      <c r="UD7" s="582"/>
      <c r="UE7" s="582"/>
      <c r="UF7" s="582"/>
      <c r="UG7" s="582"/>
      <c r="UH7" s="582"/>
      <c r="UI7" s="582"/>
      <c r="UJ7" s="582"/>
      <c r="UK7" s="582"/>
      <c r="UL7" s="582"/>
      <c r="UM7" s="582"/>
      <c r="UN7" s="582"/>
      <c r="UO7" s="582"/>
      <c r="UP7" s="582"/>
      <c r="UQ7" s="582"/>
      <c r="UR7" s="582"/>
      <c r="US7" s="582"/>
      <c r="UT7" s="582"/>
      <c r="UU7" s="582"/>
      <c r="UV7" s="582"/>
      <c r="UW7" s="582"/>
      <c r="UX7" s="582"/>
      <c r="UY7" s="582"/>
      <c r="UZ7" s="582"/>
      <c r="VA7" s="582"/>
      <c r="VB7" s="582"/>
      <c r="VC7" s="582"/>
      <c r="VD7" s="582"/>
      <c r="VE7" s="582"/>
      <c r="VF7" s="582"/>
      <c r="VG7" s="582"/>
      <c r="VH7" s="582"/>
      <c r="VI7" s="582"/>
      <c r="VJ7" s="582"/>
      <c r="VK7" s="582"/>
      <c r="VL7" s="582"/>
      <c r="VM7" s="582"/>
      <c r="VN7" s="582"/>
      <c r="VO7" s="582"/>
      <c r="VP7" s="582"/>
      <c r="VQ7" s="582"/>
      <c r="VR7" s="582"/>
      <c r="VS7" s="582"/>
      <c r="VT7" s="582"/>
      <c r="VU7" s="582"/>
      <c r="VV7" s="582"/>
      <c r="VW7" s="582"/>
      <c r="VX7" s="582"/>
      <c r="VY7" s="582"/>
      <c r="VZ7" s="582"/>
      <c r="WA7" s="582"/>
      <c r="WB7" s="582"/>
      <c r="WC7" s="582"/>
      <c r="WD7" s="582"/>
      <c r="WE7" s="582"/>
      <c r="WF7" s="582"/>
      <c r="WG7" s="582"/>
      <c r="WH7" s="582"/>
      <c r="WI7" s="582"/>
      <c r="WJ7" s="582"/>
      <c r="WK7" s="582"/>
      <c r="WL7" s="582"/>
      <c r="WM7" s="582"/>
      <c r="WN7" s="582"/>
      <c r="WO7" s="582"/>
      <c r="WP7" s="582"/>
      <c r="WQ7" s="582"/>
      <c r="WR7" s="582"/>
      <c r="WS7" s="582"/>
      <c r="WT7" s="582"/>
      <c r="WU7" s="582"/>
      <c r="WV7" s="582"/>
      <c r="WW7" s="582"/>
      <c r="WX7" s="582"/>
      <c r="WY7" s="582"/>
      <c r="WZ7" s="582"/>
      <c r="XA7" s="582"/>
      <c r="XB7" s="582"/>
      <c r="XC7" s="582"/>
      <c r="XD7" s="582"/>
      <c r="XE7" s="582"/>
      <c r="XF7" s="582"/>
      <c r="XG7" s="582"/>
      <c r="XH7" s="582"/>
      <c r="XI7" s="582"/>
      <c r="XJ7" s="582"/>
      <c r="XK7" s="582"/>
      <c r="XL7" s="582"/>
      <c r="XM7" s="582"/>
      <c r="XN7" s="582"/>
      <c r="XO7" s="582"/>
      <c r="XP7" s="582"/>
      <c r="XQ7" s="582"/>
      <c r="XR7" s="582"/>
      <c r="XS7" s="582"/>
      <c r="XT7" s="582"/>
      <c r="XU7" s="582"/>
      <c r="XV7" s="582"/>
      <c r="XW7" s="582"/>
      <c r="XX7" s="582"/>
      <c r="XY7" s="582"/>
      <c r="XZ7" s="582"/>
      <c r="YA7" s="582"/>
      <c r="YB7" s="582"/>
      <c r="YC7" s="582"/>
      <c r="YD7" s="582"/>
      <c r="YE7" s="582"/>
      <c r="YF7" s="582"/>
      <c r="YG7" s="582"/>
      <c r="YH7" s="582"/>
      <c r="YI7" s="582"/>
      <c r="YJ7" s="582"/>
      <c r="YK7" s="582"/>
      <c r="YL7" s="582"/>
      <c r="YM7" s="582"/>
      <c r="YN7" s="582"/>
      <c r="YO7" s="582"/>
      <c r="YP7" s="582"/>
      <c r="YQ7" s="582"/>
      <c r="YR7" s="582"/>
      <c r="YS7" s="582"/>
      <c r="YT7" s="582"/>
      <c r="YU7" s="582"/>
      <c r="YV7" s="582"/>
      <c r="YW7" s="582"/>
      <c r="YX7" s="582"/>
      <c r="YY7" s="582"/>
      <c r="YZ7" s="582"/>
      <c r="ZA7" s="582"/>
      <c r="ZB7" s="582"/>
      <c r="ZC7" s="582"/>
      <c r="ZD7" s="582"/>
      <c r="ZE7" s="582"/>
      <c r="ZF7" s="582"/>
      <c r="ZG7" s="582"/>
      <c r="ZH7" s="582"/>
      <c r="ZI7" s="582"/>
      <c r="ZJ7" s="582"/>
      <c r="ZK7" s="582"/>
      <c r="ZL7" s="582"/>
      <c r="ZM7" s="582"/>
      <c r="ZN7" s="582"/>
      <c r="ZO7" s="582"/>
      <c r="ZP7" s="582"/>
      <c r="ZQ7" s="582"/>
      <c r="ZR7" s="582"/>
      <c r="ZS7" s="582"/>
      <c r="ZT7" s="582"/>
      <c r="ZU7" s="582"/>
      <c r="ZV7" s="582"/>
      <c r="ZW7" s="582"/>
      <c r="ZX7" s="582"/>
      <c r="ZY7" s="582"/>
      <c r="ZZ7" s="582"/>
      <c r="AAA7" s="582"/>
      <c r="AAB7" s="582"/>
      <c r="AAC7" s="582"/>
      <c r="AAD7" s="582"/>
      <c r="AAE7" s="582"/>
      <c r="AAF7" s="582"/>
      <c r="AAG7" s="582"/>
      <c r="AAH7" s="582"/>
      <c r="AAI7" s="582"/>
      <c r="AAJ7" s="582"/>
      <c r="AAK7" s="582"/>
      <c r="AAL7" s="582"/>
      <c r="AAM7" s="582"/>
      <c r="AAN7" s="582"/>
      <c r="AAO7" s="582"/>
      <c r="AAP7" s="582"/>
      <c r="AAQ7" s="582"/>
      <c r="AAR7" s="582"/>
      <c r="AAS7" s="582"/>
      <c r="AAT7" s="582"/>
      <c r="AAU7" s="582"/>
      <c r="AAV7" s="582"/>
      <c r="AAW7" s="582"/>
      <c r="AAX7" s="582"/>
      <c r="AAY7" s="582"/>
      <c r="AAZ7" s="582"/>
      <c r="ABA7" s="582"/>
      <c r="ABB7" s="582"/>
      <c r="ABC7" s="582"/>
      <c r="ABD7" s="582"/>
      <c r="ABE7" s="582"/>
      <c r="ABF7" s="582"/>
      <c r="ABG7" s="582"/>
      <c r="ABH7" s="582"/>
      <c r="ABI7" s="582"/>
      <c r="ABJ7" s="582"/>
      <c r="ABK7" s="582"/>
      <c r="ABL7" s="582"/>
      <c r="ABM7" s="582"/>
      <c r="ABN7" s="582"/>
      <c r="ABO7" s="582"/>
      <c r="ABP7" s="582"/>
      <c r="ABQ7" s="582"/>
      <c r="ABR7" s="582"/>
      <c r="ABS7" s="582"/>
      <c r="ABT7" s="582"/>
      <c r="ABU7" s="582"/>
      <c r="ABV7" s="582"/>
      <c r="ABW7" s="582"/>
      <c r="ABX7" s="582"/>
      <c r="ABY7" s="582"/>
      <c r="ABZ7" s="582"/>
      <c r="ACA7" s="582"/>
      <c r="ACB7" s="582"/>
      <c r="ACC7" s="582"/>
      <c r="ACD7" s="582"/>
      <c r="ACE7" s="582"/>
      <c r="ACF7" s="582"/>
      <c r="ACG7" s="582"/>
      <c r="ACH7" s="582"/>
      <c r="ACI7" s="582"/>
      <c r="ACJ7" s="582"/>
      <c r="ACK7" s="582"/>
      <c r="ACL7" s="582"/>
      <c r="ACM7" s="582"/>
      <c r="ACN7" s="582"/>
      <c r="ACO7" s="582"/>
      <c r="ACP7" s="582"/>
      <c r="ACQ7" s="582"/>
      <c r="ACR7" s="582"/>
      <c r="ACS7" s="582"/>
      <c r="ACT7" s="582"/>
      <c r="ACU7" s="582"/>
      <c r="ACV7" s="582"/>
      <c r="ACW7" s="582"/>
      <c r="ACX7" s="582"/>
      <c r="ACY7" s="582"/>
      <c r="ACZ7" s="582"/>
      <c r="ADA7" s="582"/>
      <c r="ADB7" s="582"/>
      <c r="ADC7" s="582"/>
      <c r="ADD7" s="582"/>
      <c r="ADE7" s="582"/>
      <c r="ADF7" s="582"/>
      <c r="ADG7" s="582"/>
      <c r="ADH7" s="582"/>
      <c r="ADI7" s="582"/>
      <c r="ADJ7" s="582"/>
      <c r="ADK7" s="582"/>
      <c r="ADL7" s="582"/>
      <c r="ADM7" s="582"/>
      <c r="ADN7" s="582"/>
      <c r="ADO7" s="582"/>
      <c r="ADP7" s="582"/>
      <c r="ADQ7" s="582"/>
      <c r="ADR7" s="582"/>
      <c r="ADS7" s="582"/>
      <c r="ADT7" s="582"/>
      <c r="ADU7" s="582"/>
      <c r="ADV7" s="582"/>
      <c r="ADW7" s="582"/>
      <c r="ADX7" s="582"/>
      <c r="ADY7" s="582"/>
      <c r="ADZ7" s="582"/>
      <c r="AEA7" s="582"/>
      <c r="AEB7" s="582"/>
      <c r="AEC7" s="582"/>
      <c r="AED7" s="582"/>
      <c r="AEE7" s="582"/>
      <c r="AEF7" s="582"/>
      <c r="AEG7" s="582"/>
      <c r="AEH7" s="582"/>
      <c r="AEI7" s="582"/>
      <c r="AEJ7" s="582"/>
      <c r="AEK7" s="582"/>
      <c r="AEL7" s="582"/>
      <c r="AEM7" s="582"/>
      <c r="AEN7" s="582"/>
      <c r="AEO7" s="582"/>
      <c r="AEP7" s="582"/>
      <c r="AEQ7" s="582"/>
      <c r="AER7" s="582"/>
      <c r="AES7" s="582"/>
      <c r="AET7" s="582"/>
      <c r="AEU7" s="582"/>
      <c r="AEV7" s="582"/>
      <c r="AEW7" s="582"/>
      <c r="AEX7" s="582"/>
      <c r="AEY7" s="582"/>
      <c r="AEZ7" s="582"/>
      <c r="AFA7" s="582"/>
      <c r="AFB7" s="582"/>
      <c r="AFC7" s="582"/>
      <c r="AFD7" s="582"/>
      <c r="AFE7" s="582"/>
      <c r="AFF7" s="582"/>
      <c r="AFG7" s="582"/>
      <c r="AFH7" s="582"/>
      <c r="AFI7" s="582"/>
      <c r="AFJ7" s="582"/>
      <c r="AFK7" s="582"/>
      <c r="AFL7" s="582"/>
      <c r="AFM7" s="582"/>
      <c r="AFN7" s="582"/>
      <c r="AFO7" s="582"/>
      <c r="AFP7" s="582"/>
      <c r="AFQ7" s="582"/>
      <c r="AFR7" s="582"/>
      <c r="AFS7" s="582"/>
      <c r="AFT7" s="582"/>
      <c r="AFU7" s="582"/>
      <c r="AFV7" s="582"/>
      <c r="AFW7" s="582"/>
      <c r="AFX7" s="582"/>
      <c r="AFY7" s="582"/>
      <c r="AFZ7" s="582"/>
      <c r="AGA7" s="582"/>
      <c r="AGB7" s="582"/>
      <c r="AGC7" s="582"/>
      <c r="AGD7" s="582"/>
      <c r="AGE7" s="582"/>
      <c r="AGF7" s="582"/>
      <c r="AGG7" s="582"/>
      <c r="AGH7" s="582"/>
      <c r="AGI7" s="582"/>
      <c r="AGJ7" s="582"/>
      <c r="AGK7" s="582"/>
      <c r="AGL7" s="582"/>
      <c r="AGM7" s="582"/>
      <c r="AGN7" s="582"/>
      <c r="AGO7" s="582"/>
      <c r="AGP7" s="582"/>
      <c r="AGQ7" s="582"/>
      <c r="AGR7" s="582"/>
      <c r="AGS7" s="582"/>
      <c r="AGT7" s="582"/>
      <c r="AGU7" s="582"/>
      <c r="AGV7" s="582"/>
      <c r="AGW7" s="582"/>
      <c r="AGX7" s="582"/>
      <c r="AGY7" s="582"/>
      <c r="AGZ7" s="582"/>
      <c r="AHA7" s="582"/>
      <c r="AHB7" s="582"/>
      <c r="AHC7" s="582"/>
      <c r="AHD7" s="582"/>
      <c r="AHE7" s="582"/>
      <c r="AHF7" s="582"/>
      <c r="AHG7" s="582"/>
      <c r="AHH7" s="582"/>
      <c r="AHI7" s="582"/>
      <c r="AHJ7" s="582"/>
      <c r="AHK7" s="582"/>
      <c r="AHL7" s="582"/>
      <c r="AHM7" s="582"/>
      <c r="AHN7" s="582"/>
      <c r="AHO7" s="582"/>
      <c r="AHP7" s="582"/>
      <c r="AHQ7" s="582"/>
      <c r="AHR7" s="582"/>
      <c r="AHS7" s="582"/>
      <c r="AHT7" s="582"/>
      <c r="AHU7" s="582"/>
      <c r="AHV7" s="582"/>
      <c r="AHW7" s="582"/>
      <c r="AHX7" s="582"/>
      <c r="AHY7" s="582"/>
      <c r="AHZ7" s="582"/>
      <c r="AIA7" s="582"/>
      <c r="AIB7" s="582"/>
      <c r="AIC7" s="582"/>
      <c r="AID7" s="582"/>
      <c r="AIE7" s="582"/>
      <c r="AIF7" s="582"/>
      <c r="AIG7" s="582"/>
      <c r="AIH7" s="582"/>
      <c r="AII7" s="582"/>
      <c r="AIJ7" s="582"/>
      <c r="AIK7" s="582"/>
      <c r="AIL7" s="582"/>
      <c r="AIM7" s="582"/>
      <c r="AIN7" s="582"/>
      <c r="AIO7" s="582"/>
      <c r="AIP7" s="582"/>
      <c r="AIQ7" s="582"/>
      <c r="AIR7" s="582"/>
      <c r="AIS7" s="582"/>
      <c r="AIT7" s="582"/>
      <c r="AIU7" s="582"/>
      <c r="AIV7" s="582"/>
      <c r="AIW7" s="582"/>
      <c r="AIX7" s="582"/>
      <c r="AIY7" s="582"/>
      <c r="AIZ7" s="582"/>
      <c r="AJA7" s="582"/>
      <c r="AJB7" s="582"/>
      <c r="AJC7" s="582"/>
      <c r="AJD7" s="582"/>
      <c r="AJE7" s="582"/>
      <c r="AJF7" s="582"/>
      <c r="AJG7" s="582"/>
      <c r="AJH7" s="582"/>
      <c r="AJI7" s="582"/>
      <c r="AJJ7" s="582"/>
      <c r="AJK7" s="582"/>
      <c r="AJL7" s="582"/>
      <c r="AJM7" s="582"/>
      <c r="AJN7" s="582"/>
      <c r="AJO7" s="582"/>
      <c r="AJP7" s="582"/>
      <c r="AJQ7" s="582"/>
      <c r="AJR7" s="582"/>
      <c r="AJS7" s="582"/>
      <c r="AJT7" s="582"/>
      <c r="AJU7" s="582"/>
      <c r="AJV7" s="582"/>
      <c r="AJW7" s="582"/>
      <c r="AJX7" s="582"/>
      <c r="AJY7" s="582"/>
      <c r="AJZ7" s="582"/>
      <c r="AKA7" s="582"/>
      <c r="AKB7" s="582"/>
      <c r="AKC7" s="582"/>
      <c r="AKD7" s="582"/>
      <c r="AKE7" s="582"/>
      <c r="AKF7" s="582"/>
      <c r="AKG7" s="582"/>
      <c r="AKH7" s="582"/>
      <c r="AKI7" s="582"/>
      <c r="AKJ7" s="582"/>
      <c r="AKK7" s="582"/>
      <c r="AKL7" s="582"/>
      <c r="AKM7" s="582"/>
      <c r="AKN7" s="582"/>
      <c r="AKO7" s="582"/>
      <c r="AKP7" s="582"/>
      <c r="AKQ7" s="582"/>
      <c r="AKR7" s="582"/>
      <c r="AKS7" s="582"/>
      <c r="AKT7" s="582"/>
      <c r="AKU7" s="582"/>
      <c r="AKV7" s="582"/>
      <c r="AKW7" s="582"/>
      <c r="AKX7" s="582"/>
      <c r="AKY7" s="582"/>
      <c r="AKZ7" s="582"/>
      <c r="ALA7" s="582"/>
      <c r="ALB7" s="582"/>
      <c r="ALC7" s="582"/>
      <c r="ALD7" s="582"/>
      <c r="ALE7" s="582"/>
      <c r="ALF7" s="582"/>
      <c r="ALG7" s="582"/>
      <c r="ALH7" s="582"/>
      <c r="ALI7" s="582"/>
      <c r="ALJ7" s="582"/>
      <c r="ALK7" s="582"/>
      <c r="ALL7" s="582"/>
      <c r="ALM7" s="582"/>
      <c r="ALN7" s="582"/>
      <c r="ALO7" s="582"/>
      <c r="ALP7" s="582"/>
      <c r="ALQ7" s="582"/>
      <c r="ALR7" s="582"/>
      <c r="ALS7" s="582"/>
      <c r="ALT7" s="582"/>
      <c r="ALU7" s="582"/>
      <c r="ALV7" s="582"/>
      <c r="ALW7" s="582"/>
      <c r="ALX7" s="582"/>
      <c r="ALY7" s="582"/>
      <c r="ALZ7" s="582"/>
      <c r="AMA7" s="582"/>
      <c r="AMB7" s="582"/>
      <c r="AMC7" s="582"/>
      <c r="AMD7" s="582"/>
      <c r="AME7" s="582"/>
      <c r="AMF7" s="582"/>
      <c r="AMG7" s="582"/>
      <c r="AMH7" s="582"/>
      <c r="AMI7" s="582"/>
      <c r="AMJ7" s="582"/>
      <c r="AMK7" s="582"/>
      <c r="AML7" s="582"/>
      <c r="AMM7" s="582"/>
      <c r="AMN7" s="582"/>
      <c r="AMO7" s="582"/>
      <c r="AMP7" s="582"/>
      <c r="AMQ7" s="582"/>
      <c r="AMR7" s="582"/>
      <c r="AMS7" s="582"/>
      <c r="AMT7" s="582"/>
      <c r="AMU7" s="582"/>
      <c r="AMV7" s="582"/>
      <c r="AMW7" s="582"/>
      <c r="AMX7" s="582"/>
      <c r="AMY7" s="582"/>
      <c r="AMZ7" s="582"/>
      <c r="ANA7" s="582"/>
      <c r="ANB7" s="582"/>
      <c r="ANC7" s="582"/>
      <c r="AND7" s="582"/>
      <c r="ANE7" s="582"/>
      <c r="ANF7" s="582"/>
      <c r="ANG7" s="582"/>
      <c r="ANH7" s="582"/>
      <c r="ANI7" s="582"/>
      <c r="ANJ7" s="582"/>
      <c r="ANK7" s="582"/>
      <c r="ANL7" s="582"/>
      <c r="ANM7" s="582"/>
      <c r="ANN7" s="582"/>
      <c r="ANO7" s="582"/>
      <c r="ANP7" s="582"/>
      <c r="ANQ7" s="582"/>
      <c r="ANR7" s="582"/>
      <c r="ANS7" s="582"/>
      <c r="ANT7" s="582"/>
      <c r="ANU7" s="582"/>
      <c r="ANV7" s="582"/>
      <c r="ANW7" s="582"/>
      <c r="ANX7" s="582"/>
      <c r="ANY7" s="582"/>
      <c r="ANZ7" s="582"/>
      <c r="AOA7" s="582"/>
      <c r="AOB7" s="582"/>
      <c r="AOC7" s="582"/>
      <c r="AOD7" s="582"/>
      <c r="AOE7" s="582"/>
      <c r="AOF7" s="582"/>
      <c r="AOG7" s="582"/>
      <c r="AOH7" s="582"/>
      <c r="AOI7" s="582"/>
      <c r="AOJ7" s="582"/>
      <c r="AOK7" s="582"/>
      <c r="AOL7" s="582"/>
      <c r="AOM7" s="582"/>
      <c r="AON7" s="582"/>
      <c r="AOO7" s="582"/>
      <c r="AOP7" s="582"/>
      <c r="AOQ7" s="582"/>
      <c r="AOR7" s="582"/>
      <c r="AOS7" s="582"/>
      <c r="AOT7" s="582"/>
      <c r="AOU7" s="582"/>
      <c r="AOV7" s="582"/>
      <c r="AOW7" s="582"/>
      <c r="AOX7" s="582"/>
      <c r="AOY7" s="582"/>
      <c r="AOZ7" s="582"/>
      <c r="APA7" s="582"/>
      <c r="APB7" s="582"/>
      <c r="APC7" s="582"/>
      <c r="APD7" s="582"/>
      <c r="APE7" s="582"/>
      <c r="APF7" s="582"/>
      <c r="APG7" s="582"/>
      <c r="APH7" s="582"/>
      <c r="API7" s="582"/>
      <c r="APJ7" s="582"/>
      <c r="APK7" s="582"/>
      <c r="APL7" s="582"/>
      <c r="APM7" s="582"/>
      <c r="APN7" s="582"/>
      <c r="APO7" s="582"/>
      <c r="APP7" s="582"/>
      <c r="APQ7" s="582"/>
      <c r="APR7" s="582"/>
      <c r="APS7" s="582"/>
      <c r="APT7" s="582"/>
      <c r="APU7" s="582"/>
      <c r="APV7" s="582"/>
      <c r="APW7" s="582"/>
      <c r="APX7" s="582"/>
      <c r="APY7" s="582"/>
      <c r="APZ7" s="582"/>
      <c r="AQA7" s="582"/>
      <c r="AQB7" s="582"/>
      <c r="AQC7" s="582"/>
      <c r="AQD7" s="582"/>
      <c r="AQE7" s="582"/>
      <c r="AQF7" s="582"/>
      <c r="AQG7" s="582"/>
      <c r="AQH7" s="582"/>
      <c r="AQI7" s="582"/>
      <c r="AQJ7" s="582"/>
      <c r="AQK7" s="582"/>
      <c r="AQL7" s="582"/>
      <c r="AQM7" s="582"/>
      <c r="AQN7" s="582"/>
      <c r="AQO7" s="582"/>
      <c r="AQP7" s="582"/>
      <c r="AQQ7" s="582"/>
      <c r="AQR7" s="582"/>
      <c r="AQS7" s="582"/>
      <c r="AQT7" s="582"/>
      <c r="AQU7" s="582"/>
      <c r="AQV7" s="582"/>
      <c r="AQW7" s="582"/>
      <c r="AQX7" s="582"/>
      <c r="AQY7" s="582"/>
      <c r="AQZ7" s="582"/>
      <c r="ARA7" s="582"/>
      <c r="ARB7" s="582"/>
      <c r="ARC7" s="582"/>
      <c r="ARD7" s="582"/>
      <c r="ARE7" s="582"/>
      <c r="ARF7" s="582"/>
      <c r="ARG7" s="582"/>
      <c r="ARH7" s="582"/>
      <c r="ARI7" s="582"/>
      <c r="ARJ7" s="582"/>
      <c r="ARK7" s="582"/>
      <c r="ARL7" s="582"/>
      <c r="ARM7" s="582"/>
      <c r="ARN7" s="582"/>
      <c r="ARO7" s="582"/>
      <c r="ARP7" s="582"/>
      <c r="ARQ7" s="582"/>
      <c r="ARR7" s="582"/>
      <c r="ARS7" s="582"/>
      <c r="ART7" s="582"/>
      <c r="ARU7" s="582"/>
      <c r="ARV7" s="582"/>
      <c r="ARW7" s="582"/>
      <c r="ARX7" s="582"/>
      <c r="ARY7" s="582"/>
      <c r="ARZ7" s="582"/>
      <c r="ASA7" s="582"/>
      <c r="ASB7" s="582"/>
      <c r="ASC7" s="582"/>
      <c r="ASD7" s="582"/>
      <c r="ASE7" s="582"/>
      <c r="ASF7" s="582"/>
      <c r="ASG7" s="582"/>
      <c r="ASH7" s="582"/>
      <c r="ASI7" s="582"/>
      <c r="ASJ7" s="582"/>
      <c r="ASK7" s="582"/>
      <c r="ASL7" s="582"/>
      <c r="ASM7" s="582"/>
      <c r="ASN7" s="582"/>
      <c r="ASO7" s="582"/>
      <c r="ASP7" s="582"/>
      <c r="ASQ7" s="582"/>
      <c r="ASR7" s="582"/>
      <c r="ASS7" s="582"/>
      <c r="AST7" s="582"/>
      <c r="ASU7" s="582"/>
      <c r="ASV7" s="582"/>
      <c r="ASW7" s="582"/>
      <c r="ASX7" s="582"/>
      <c r="ASY7" s="582"/>
      <c r="ASZ7" s="582"/>
      <c r="ATA7" s="582"/>
      <c r="ATB7" s="582"/>
      <c r="ATC7" s="582"/>
      <c r="ATD7" s="582"/>
      <c r="ATE7" s="582"/>
      <c r="ATF7" s="582"/>
      <c r="ATG7" s="582"/>
      <c r="ATH7" s="582"/>
      <c r="ATI7" s="582"/>
      <c r="ATJ7" s="582"/>
      <c r="ATK7" s="582"/>
      <c r="ATL7" s="582"/>
      <c r="ATM7" s="582"/>
      <c r="ATN7" s="582"/>
      <c r="ATO7" s="582"/>
      <c r="ATP7" s="582"/>
      <c r="ATQ7" s="582"/>
      <c r="ATR7" s="582"/>
      <c r="ATS7" s="582"/>
      <c r="ATT7" s="582"/>
      <c r="ATU7" s="582"/>
      <c r="ATV7" s="582"/>
      <c r="ATW7" s="582"/>
      <c r="ATX7" s="582"/>
      <c r="ATY7" s="582"/>
      <c r="ATZ7" s="582"/>
      <c r="AUA7" s="582"/>
      <c r="AUB7" s="582"/>
      <c r="AUC7" s="582"/>
      <c r="AUD7" s="582"/>
      <c r="AUE7" s="582"/>
      <c r="AUF7" s="582"/>
      <c r="AUG7" s="582"/>
      <c r="AUH7" s="582"/>
      <c r="AUI7" s="582"/>
      <c r="AUJ7" s="582"/>
      <c r="AUK7" s="582"/>
      <c r="AUL7" s="582"/>
      <c r="AUM7" s="582"/>
      <c r="AUN7" s="582"/>
      <c r="AUO7" s="582"/>
      <c r="AUP7" s="582"/>
      <c r="AUQ7" s="582"/>
      <c r="AUR7" s="582"/>
      <c r="AUS7" s="582"/>
      <c r="AUT7" s="582"/>
      <c r="AUU7" s="582"/>
      <c r="AUV7" s="582"/>
      <c r="AUW7" s="582"/>
      <c r="AUX7" s="582"/>
      <c r="AUY7" s="582"/>
      <c r="AUZ7" s="582"/>
      <c r="AVA7" s="582"/>
      <c r="AVB7" s="582"/>
      <c r="AVC7" s="582"/>
      <c r="AVD7" s="582"/>
      <c r="AVE7" s="582"/>
      <c r="AVF7" s="582"/>
      <c r="AVG7" s="582"/>
      <c r="AVH7" s="582"/>
      <c r="AVI7" s="582"/>
      <c r="AVJ7" s="582"/>
      <c r="AVK7" s="582"/>
      <c r="AVL7" s="582"/>
      <c r="AVM7" s="582"/>
      <c r="AVN7" s="582"/>
      <c r="AVO7" s="582"/>
      <c r="AVP7" s="582"/>
      <c r="AVQ7" s="582"/>
      <c r="AVR7" s="582"/>
      <c r="AVS7" s="582"/>
      <c r="AVT7" s="582"/>
      <c r="AVU7" s="582"/>
      <c r="AVV7" s="582"/>
      <c r="AVW7" s="582"/>
      <c r="AVX7" s="582"/>
      <c r="AVY7" s="582"/>
      <c r="AVZ7" s="582"/>
      <c r="AWA7" s="582"/>
      <c r="AWB7" s="582"/>
      <c r="AWC7" s="582"/>
      <c r="AWD7" s="582"/>
      <c r="AWE7" s="582"/>
      <c r="AWF7" s="582"/>
      <c r="AWG7" s="582"/>
      <c r="AWH7" s="582"/>
      <c r="AWI7" s="582"/>
      <c r="AWJ7" s="582"/>
      <c r="AWK7" s="582"/>
      <c r="AWL7" s="582"/>
      <c r="AWM7" s="582"/>
      <c r="AWN7" s="582"/>
      <c r="AWO7" s="582"/>
      <c r="AWP7" s="582"/>
      <c r="AWQ7" s="582"/>
      <c r="AWR7" s="582"/>
      <c r="AWS7" s="582"/>
      <c r="AWT7" s="582"/>
      <c r="AWU7" s="582"/>
      <c r="AWV7" s="582"/>
      <c r="AWW7" s="582"/>
      <c r="AWX7" s="582"/>
      <c r="AWY7" s="582"/>
      <c r="AWZ7" s="582"/>
      <c r="AXA7" s="582"/>
      <c r="AXB7" s="582"/>
      <c r="AXC7" s="582"/>
      <c r="AXD7" s="582"/>
      <c r="AXE7" s="582"/>
      <c r="AXF7" s="582"/>
      <c r="AXG7" s="582"/>
      <c r="AXH7" s="582"/>
      <c r="AXI7" s="582"/>
      <c r="AXJ7" s="582"/>
      <c r="AXK7" s="582"/>
      <c r="AXL7" s="582"/>
      <c r="AXM7" s="582"/>
      <c r="AXN7" s="582"/>
      <c r="AXO7" s="582"/>
      <c r="AXP7" s="582"/>
      <c r="AXQ7" s="582"/>
      <c r="AXR7" s="582"/>
      <c r="AXS7" s="582"/>
      <c r="AXT7" s="582"/>
      <c r="AXU7" s="582"/>
      <c r="AXV7" s="582"/>
      <c r="AXW7" s="582"/>
      <c r="AXX7" s="582"/>
      <c r="AXY7" s="582"/>
      <c r="AXZ7" s="582"/>
      <c r="AYA7" s="582"/>
      <c r="AYB7" s="582"/>
      <c r="AYC7" s="582"/>
      <c r="AYD7" s="582"/>
      <c r="AYE7" s="582"/>
      <c r="AYF7" s="582"/>
      <c r="AYG7" s="582"/>
      <c r="AYH7" s="582"/>
      <c r="AYI7" s="582"/>
      <c r="AYJ7" s="582"/>
      <c r="AYK7" s="582"/>
      <c r="AYL7" s="582"/>
      <c r="AYM7" s="582"/>
      <c r="AYN7" s="582"/>
      <c r="AYO7" s="582"/>
      <c r="AYP7" s="582"/>
      <c r="AYQ7" s="582"/>
      <c r="AYR7" s="582"/>
      <c r="AYS7" s="582"/>
      <c r="AYT7" s="582"/>
      <c r="AYU7" s="582"/>
      <c r="AYV7" s="582"/>
      <c r="AYW7" s="582"/>
      <c r="AYX7" s="582"/>
      <c r="AYY7" s="582"/>
      <c r="AYZ7" s="582"/>
      <c r="AZA7" s="582"/>
      <c r="AZB7" s="582"/>
      <c r="AZC7" s="582"/>
      <c r="AZD7" s="582"/>
      <c r="AZE7" s="582"/>
      <c r="AZF7" s="582"/>
      <c r="AZG7" s="582"/>
      <c r="AZH7" s="582"/>
      <c r="AZI7" s="582"/>
      <c r="AZJ7" s="582"/>
      <c r="AZK7" s="582"/>
      <c r="AZL7" s="582"/>
      <c r="AZM7" s="582"/>
      <c r="AZN7" s="582"/>
      <c r="AZO7" s="582"/>
      <c r="AZP7" s="582"/>
      <c r="AZQ7" s="582"/>
      <c r="AZR7" s="582"/>
      <c r="AZS7" s="582"/>
      <c r="AZT7" s="582"/>
      <c r="AZU7" s="582"/>
      <c r="AZV7" s="582"/>
      <c r="AZW7" s="582"/>
      <c r="AZX7" s="582"/>
      <c r="AZY7" s="582"/>
      <c r="AZZ7" s="582"/>
      <c r="BAA7" s="582"/>
      <c r="BAB7" s="582"/>
      <c r="BAC7" s="582"/>
      <c r="BAD7" s="582"/>
      <c r="BAE7" s="582"/>
      <c r="BAF7" s="582"/>
      <c r="BAG7" s="582"/>
      <c r="BAH7" s="582"/>
      <c r="BAI7" s="582"/>
      <c r="BAJ7" s="582"/>
      <c r="BAK7" s="582"/>
      <c r="BAL7" s="582"/>
      <c r="BAM7" s="582"/>
      <c r="BAN7" s="582"/>
      <c r="BAO7" s="582"/>
      <c r="BAP7" s="582"/>
      <c r="BAQ7" s="582"/>
      <c r="BAR7" s="582"/>
      <c r="BAS7" s="582"/>
      <c r="BAT7" s="582"/>
      <c r="BAU7" s="582"/>
      <c r="BAV7" s="582"/>
      <c r="BAW7" s="582"/>
      <c r="BAX7" s="582"/>
      <c r="BAY7" s="582"/>
      <c r="BAZ7" s="582"/>
      <c r="BBA7" s="582"/>
      <c r="BBB7" s="582"/>
      <c r="BBC7" s="582"/>
      <c r="BBD7" s="582"/>
      <c r="BBE7" s="582"/>
      <c r="BBF7" s="582"/>
      <c r="BBG7" s="582"/>
      <c r="BBH7" s="582"/>
      <c r="BBI7" s="582"/>
      <c r="BBJ7" s="582"/>
      <c r="BBK7" s="582"/>
      <c r="BBL7" s="582"/>
      <c r="BBM7" s="582"/>
      <c r="BBN7" s="582"/>
      <c r="BBO7" s="582"/>
      <c r="BBP7" s="582"/>
      <c r="BBQ7" s="582"/>
      <c r="BBR7" s="582"/>
      <c r="BBS7" s="582"/>
      <c r="BBT7" s="582"/>
      <c r="BBU7" s="582"/>
      <c r="BBV7" s="582"/>
      <c r="BBW7" s="582"/>
      <c r="BBX7" s="582"/>
      <c r="BBY7" s="582"/>
      <c r="BBZ7" s="582"/>
      <c r="BCA7" s="582"/>
      <c r="BCB7" s="582"/>
      <c r="BCC7" s="582"/>
      <c r="BCD7" s="582"/>
      <c r="BCE7" s="582"/>
      <c r="BCF7" s="582"/>
      <c r="BCG7" s="582"/>
      <c r="BCH7" s="582"/>
      <c r="BCI7" s="582"/>
      <c r="BCJ7" s="582"/>
      <c r="BCK7" s="582"/>
      <c r="BCL7" s="582"/>
      <c r="BCM7" s="582"/>
      <c r="BCN7" s="582"/>
      <c r="BCO7" s="582"/>
      <c r="BCP7" s="582"/>
      <c r="BCQ7" s="582"/>
      <c r="BCR7" s="582"/>
      <c r="BCS7" s="582"/>
      <c r="BCT7" s="582"/>
      <c r="BCU7" s="582"/>
      <c r="BCV7" s="582"/>
      <c r="BCW7" s="582"/>
      <c r="BCX7" s="582"/>
      <c r="BCY7" s="582"/>
      <c r="BCZ7" s="582"/>
      <c r="BDA7" s="582"/>
      <c r="BDB7" s="582"/>
      <c r="BDC7" s="582"/>
      <c r="BDD7" s="582"/>
      <c r="BDE7" s="582"/>
      <c r="BDF7" s="582"/>
      <c r="BDG7" s="582"/>
      <c r="BDH7" s="582"/>
      <c r="BDI7" s="582"/>
      <c r="BDJ7" s="582"/>
      <c r="BDK7" s="582"/>
      <c r="BDL7" s="582"/>
      <c r="BDM7" s="582"/>
      <c r="BDN7" s="582"/>
      <c r="BDO7" s="582"/>
      <c r="BDP7" s="582"/>
      <c r="BDQ7" s="582"/>
      <c r="BDR7" s="582"/>
      <c r="BDS7" s="582"/>
      <c r="BDT7" s="582"/>
      <c r="BDU7" s="582"/>
      <c r="BDV7" s="582"/>
      <c r="BDW7" s="582"/>
      <c r="BDX7" s="582"/>
      <c r="BDY7" s="582"/>
      <c r="BDZ7" s="582"/>
      <c r="BEA7" s="582"/>
      <c r="BEB7" s="582"/>
      <c r="BEC7" s="582"/>
      <c r="BED7" s="582"/>
      <c r="BEE7" s="582"/>
      <c r="BEF7" s="582"/>
      <c r="BEG7" s="582"/>
      <c r="BEH7" s="582"/>
      <c r="BEI7" s="582"/>
      <c r="BEJ7" s="582"/>
      <c r="BEK7" s="582"/>
      <c r="BEL7" s="582"/>
      <c r="BEM7" s="582"/>
      <c r="BEN7" s="582"/>
      <c r="BEO7" s="582"/>
      <c r="BEP7" s="582"/>
      <c r="BEQ7" s="582"/>
      <c r="BER7" s="582"/>
      <c r="BES7" s="582"/>
      <c r="BET7" s="582"/>
      <c r="BEU7" s="582"/>
      <c r="BEV7" s="582"/>
      <c r="BEW7" s="582"/>
      <c r="BEX7" s="582"/>
      <c r="BEY7" s="582"/>
      <c r="BEZ7" s="582"/>
      <c r="BFA7" s="582"/>
      <c r="BFB7" s="582"/>
      <c r="BFC7" s="582"/>
      <c r="BFD7" s="582"/>
      <c r="BFE7" s="582"/>
      <c r="BFF7" s="582"/>
      <c r="BFG7" s="582"/>
      <c r="BFH7" s="582"/>
      <c r="BFI7" s="582"/>
      <c r="BFJ7" s="582"/>
      <c r="BFK7" s="582"/>
      <c r="BFL7" s="582"/>
      <c r="BFM7" s="582"/>
      <c r="BFN7" s="582"/>
      <c r="BFO7" s="582"/>
      <c r="BFP7" s="582"/>
      <c r="BFQ7" s="582"/>
      <c r="BFR7" s="582"/>
      <c r="BFS7" s="582"/>
      <c r="BFT7" s="582"/>
      <c r="BFU7" s="582"/>
      <c r="BFV7" s="582"/>
      <c r="BFW7" s="582"/>
      <c r="BFX7" s="582"/>
      <c r="BFY7" s="582"/>
      <c r="BFZ7" s="582"/>
      <c r="BGA7" s="582"/>
      <c r="BGB7" s="582"/>
      <c r="BGC7" s="582"/>
      <c r="BGD7" s="582"/>
      <c r="BGE7" s="582"/>
      <c r="BGF7" s="582"/>
      <c r="BGG7" s="582"/>
      <c r="BGH7" s="582"/>
      <c r="BGI7" s="582"/>
      <c r="BGJ7" s="582"/>
      <c r="BGK7" s="582"/>
      <c r="BGL7" s="582"/>
      <c r="BGM7" s="582"/>
      <c r="BGN7" s="582"/>
      <c r="BGO7" s="582"/>
      <c r="BGP7" s="582"/>
      <c r="BGQ7" s="582"/>
      <c r="BGR7" s="582"/>
      <c r="BGS7" s="582"/>
      <c r="BGT7" s="582"/>
      <c r="BGU7" s="582"/>
      <c r="BGV7" s="582"/>
      <c r="BGW7" s="582"/>
      <c r="BGX7" s="582"/>
      <c r="BGY7" s="582"/>
      <c r="BGZ7" s="582"/>
      <c r="BHA7" s="582"/>
      <c r="BHB7" s="582"/>
      <c r="BHC7" s="582"/>
      <c r="BHD7" s="582"/>
      <c r="BHE7" s="582"/>
      <c r="BHF7" s="582"/>
      <c r="BHG7" s="582"/>
      <c r="BHH7" s="582"/>
      <c r="BHI7" s="582"/>
      <c r="BHJ7" s="582"/>
      <c r="BHK7" s="582"/>
      <c r="BHL7" s="582"/>
      <c r="BHM7" s="582"/>
      <c r="BHN7" s="582"/>
      <c r="BHO7" s="582"/>
      <c r="BHP7" s="582"/>
      <c r="BHQ7" s="582"/>
      <c r="BHR7" s="582"/>
      <c r="BHS7" s="582"/>
      <c r="BHT7" s="582"/>
      <c r="BHU7" s="582"/>
      <c r="BHV7" s="582"/>
      <c r="BHW7" s="582"/>
      <c r="BHX7" s="582"/>
      <c r="BHY7" s="582"/>
      <c r="BHZ7" s="582"/>
      <c r="BIA7" s="582"/>
      <c r="BIB7" s="582"/>
      <c r="BIC7" s="582"/>
      <c r="BID7" s="582"/>
      <c r="BIE7" s="582"/>
      <c r="BIF7" s="582"/>
      <c r="BIG7" s="582"/>
      <c r="BIH7" s="582"/>
      <c r="BII7" s="582"/>
      <c r="BIJ7" s="582"/>
      <c r="BIK7" s="582"/>
      <c r="BIL7" s="582"/>
      <c r="BIM7" s="582"/>
      <c r="BIN7" s="582"/>
      <c r="BIO7" s="582"/>
      <c r="BIP7" s="582"/>
      <c r="BIQ7" s="582"/>
      <c r="BIR7" s="582"/>
      <c r="BIS7" s="582"/>
      <c r="BIT7" s="582"/>
      <c r="BIU7" s="582"/>
      <c r="BIV7" s="582"/>
      <c r="BIW7" s="582"/>
      <c r="BIX7" s="582"/>
      <c r="BIY7" s="582"/>
      <c r="BIZ7" s="582"/>
      <c r="BJA7" s="582"/>
      <c r="BJB7" s="582"/>
      <c r="BJC7" s="582"/>
      <c r="BJD7" s="582"/>
      <c r="BJE7" s="582"/>
      <c r="BJF7" s="582"/>
      <c r="BJG7" s="582"/>
      <c r="BJH7" s="582"/>
      <c r="BJI7" s="582"/>
      <c r="BJJ7" s="582"/>
      <c r="BJK7" s="582"/>
      <c r="BJL7" s="582"/>
      <c r="BJM7" s="582"/>
      <c r="BJN7" s="582"/>
      <c r="BJO7" s="582"/>
      <c r="BJP7" s="582"/>
      <c r="BJQ7" s="582"/>
      <c r="BJR7" s="582"/>
      <c r="BJS7" s="582"/>
      <c r="BJT7" s="582"/>
      <c r="BJU7" s="582"/>
      <c r="BJV7" s="582"/>
      <c r="BJW7" s="582"/>
      <c r="BJX7" s="582"/>
      <c r="BJY7" s="582"/>
      <c r="BJZ7" s="582"/>
      <c r="BKA7" s="582"/>
      <c r="BKB7" s="582"/>
      <c r="BKC7" s="582"/>
      <c r="BKD7" s="582"/>
      <c r="BKE7" s="582"/>
      <c r="BKF7" s="582"/>
      <c r="BKG7" s="582"/>
      <c r="BKH7" s="582"/>
      <c r="BKI7" s="582"/>
      <c r="BKJ7" s="582"/>
      <c r="BKK7" s="582"/>
      <c r="BKL7" s="582"/>
      <c r="BKM7" s="582"/>
      <c r="BKN7" s="582"/>
      <c r="BKO7" s="582"/>
      <c r="BKP7" s="582"/>
      <c r="BKQ7" s="582"/>
      <c r="BKR7" s="582"/>
      <c r="BKS7" s="582"/>
      <c r="BKT7" s="582"/>
      <c r="BKU7" s="582"/>
      <c r="BKV7" s="582"/>
      <c r="BKW7" s="582"/>
      <c r="BKX7" s="582"/>
      <c r="BKY7" s="582"/>
      <c r="BKZ7" s="582"/>
      <c r="BLA7" s="582"/>
      <c r="BLB7" s="582"/>
      <c r="BLC7" s="582"/>
      <c r="BLD7" s="582"/>
      <c r="BLE7" s="582"/>
      <c r="BLF7" s="582"/>
      <c r="BLG7" s="582"/>
      <c r="BLH7" s="582"/>
      <c r="BLI7" s="582"/>
      <c r="BLJ7" s="582"/>
      <c r="BLK7" s="582"/>
      <c r="BLL7" s="582"/>
      <c r="BLM7" s="582"/>
      <c r="BLN7" s="582"/>
      <c r="BLO7" s="582"/>
      <c r="BLP7" s="582"/>
      <c r="BLQ7" s="582"/>
      <c r="BLR7" s="582"/>
      <c r="BLS7" s="582"/>
      <c r="BLT7" s="582"/>
      <c r="BLU7" s="582"/>
      <c r="BLV7" s="582"/>
      <c r="BLW7" s="582"/>
      <c r="BLX7" s="582"/>
      <c r="BLY7" s="582"/>
      <c r="BLZ7" s="582"/>
      <c r="BMA7" s="582"/>
      <c r="BMB7" s="582"/>
      <c r="BMC7" s="582"/>
      <c r="BMD7" s="582"/>
      <c r="BME7" s="582"/>
      <c r="BMF7" s="582"/>
      <c r="BMG7" s="582"/>
      <c r="BMH7" s="582"/>
      <c r="BMI7" s="582"/>
      <c r="BMJ7" s="582"/>
      <c r="BMK7" s="582"/>
      <c r="BML7" s="582"/>
      <c r="BMM7" s="582"/>
      <c r="BMN7" s="582"/>
      <c r="BMO7" s="582"/>
      <c r="BMP7" s="582"/>
      <c r="BMQ7" s="582"/>
      <c r="BMR7" s="582"/>
      <c r="BMS7" s="582"/>
      <c r="BMT7" s="582"/>
      <c r="BMU7" s="582"/>
      <c r="BMV7" s="582"/>
      <c r="BMW7" s="582"/>
      <c r="BMX7" s="582"/>
      <c r="BMY7" s="582"/>
      <c r="BMZ7" s="582"/>
      <c r="BNA7" s="582"/>
      <c r="BNB7" s="582"/>
      <c r="BNC7" s="582"/>
      <c r="BND7" s="582"/>
      <c r="BNE7" s="582"/>
      <c r="BNF7" s="582"/>
      <c r="BNG7" s="582"/>
      <c r="BNH7" s="582"/>
      <c r="BNI7" s="582"/>
      <c r="BNJ7" s="582"/>
      <c r="BNK7" s="582"/>
      <c r="BNL7" s="582"/>
      <c r="BNM7" s="582"/>
      <c r="BNN7" s="582"/>
      <c r="BNO7" s="582"/>
      <c r="BNP7" s="582"/>
      <c r="BNQ7" s="582"/>
      <c r="BNR7" s="582"/>
      <c r="BNS7" s="582"/>
      <c r="BNT7" s="582"/>
      <c r="BNU7" s="582"/>
      <c r="BNV7" s="582"/>
      <c r="BNW7" s="582"/>
      <c r="BNX7" s="582"/>
      <c r="BNY7" s="582"/>
      <c r="BNZ7" s="582"/>
      <c r="BOA7" s="582"/>
      <c r="BOB7" s="582"/>
      <c r="BOC7" s="582"/>
      <c r="BOD7" s="582"/>
      <c r="BOE7" s="582"/>
      <c r="BOF7" s="582"/>
      <c r="BOG7" s="582"/>
      <c r="BOH7" s="582"/>
      <c r="BOI7" s="582"/>
      <c r="BOJ7" s="582"/>
      <c r="BOK7" s="582"/>
      <c r="BOL7" s="582"/>
      <c r="BOM7" s="582"/>
      <c r="BON7" s="582"/>
      <c r="BOO7" s="582"/>
      <c r="BOP7" s="582"/>
      <c r="BOQ7" s="582"/>
      <c r="BOR7" s="582"/>
      <c r="BOS7" s="582"/>
      <c r="BOT7" s="582"/>
      <c r="BOU7" s="582"/>
      <c r="BOV7" s="582"/>
      <c r="BOW7" s="582"/>
      <c r="BOX7" s="582"/>
      <c r="BOY7" s="582"/>
      <c r="BOZ7" s="582"/>
      <c r="BPA7" s="582"/>
      <c r="BPB7" s="582"/>
      <c r="BPC7" s="582"/>
      <c r="BPD7" s="582"/>
      <c r="BPE7" s="582"/>
      <c r="BPF7" s="582"/>
      <c r="BPG7" s="582"/>
      <c r="BPH7" s="582"/>
      <c r="BPI7" s="582"/>
      <c r="BPJ7" s="582"/>
      <c r="BPK7" s="582"/>
      <c r="BPL7" s="582"/>
      <c r="BPM7" s="582"/>
      <c r="BPN7" s="582"/>
      <c r="BPO7" s="582"/>
      <c r="BPP7" s="582"/>
      <c r="BPQ7" s="582"/>
      <c r="BPR7" s="582"/>
      <c r="BPS7" s="582"/>
      <c r="BPT7" s="582"/>
      <c r="BPU7" s="582"/>
      <c r="BPV7" s="582"/>
      <c r="BPW7" s="582"/>
      <c r="BPX7" s="582"/>
      <c r="BPY7" s="582"/>
      <c r="BPZ7" s="582"/>
      <c r="BQA7" s="582"/>
      <c r="BQB7" s="582"/>
      <c r="BQC7" s="582"/>
      <c r="BQD7" s="582"/>
      <c r="BQE7" s="582"/>
      <c r="BQF7" s="582"/>
      <c r="BQG7" s="582"/>
      <c r="BQH7" s="582"/>
      <c r="BQI7" s="582"/>
      <c r="BQJ7" s="582"/>
      <c r="BQK7" s="582"/>
      <c r="BQL7" s="582"/>
      <c r="BQM7" s="582"/>
      <c r="BQN7" s="582"/>
      <c r="BQO7" s="582"/>
      <c r="BQP7" s="582"/>
      <c r="BQQ7" s="582"/>
      <c r="BQR7" s="582"/>
      <c r="BQS7" s="582"/>
      <c r="BQT7" s="582"/>
      <c r="BQU7" s="582"/>
      <c r="BQV7" s="582"/>
      <c r="BQW7" s="582"/>
      <c r="BQX7" s="582"/>
      <c r="BQY7" s="582"/>
      <c r="BQZ7" s="582"/>
      <c r="BRA7" s="582"/>
      <c r="BRB7" s="582"/>
      <c r="BRC7" s="582"/>
      <c r="BRD7" s="582"/>
      <c r="BRE7" s="582"/>
      <c r="BRF7" s="582"/>
      <c r="BRG7" s="582"/>
      <c r="BRH7" s="582"/>
      <c r="BRI7" s="582"/>
      <c r="BRJ7" s="582"/>
      <c r="BRK7" s="582"/>
      <c r="BRL7" s="582"/>
      <c r="BRM7" s="582"/>
      <c r="BRN7" s="582"/>
      <c r="BRO7" s="582"/>
      <c r="BRP7" s="582"/>
      <c r="BRQ7" s="582"/>
      <c r="BRR7" s="582"/>
      <c r="BRS7" s="582"/>
      <c r="BRT7" s="582"/>
      <c r="BRU7" s="582"/>
      <c r="BRV7" s="582"/>
      <c r="BRW7" s="582"/>
      <c r="BRX7" s="582"/>
      <c r="BRY7" s="582"/>
      <c r="BRZ7" s="582"/>
      <c r="BSA7" s="582"/>
      <c r="BSB7" s="582"/>
      <c r="BSC7" s="582"/>
      <c r="BSD7" s="582"/>
      <c r="BSE7" s="582"/>
      <c r="BSF7" s="582"/>
      <c r="BSG7" s="582"/>
      <c r="BSH7" s="582"/>
      <c r="BSI7" s="582"/>
      <c r="BSJ7" s="582"/>
      <c r="BSK7" s="582"/>
      <c r="BSL7" s="582"/>
      <c r="BSM7" s="582"/>
      <c r="BSN7" s="582"/>
      <c r="BSO7" s="582"/>
      <c r="BSP7" s="582"/>
      <c r="BSQ7" s="582"/>
      <c r="BSR7" s="582"/>
      <c r="BSS7" s="582"/>
      <c r="BST7" s="582"/>
      <c r="BSU7" s="582"/>
      <c r="BSV7" s="582"/>
      <c r="BSW7" s="582"/>
      <c r="BSX7" s="582"/>
      <c r="BSY7" s="582"/>
      <c r="BSZ7" s="582"/>
      <c r="BTA7" s="582"/>
      <c r="BTB7" s="582"/>
      <c r="BTC7" s="582"/>
      <c r="BTD7" s="582"/>
      <c r="BTE7" s="582"/>
      <c r="BTF7" s="582"/>
      <c r="BTG7" s="582"/>
      <c r="BTH7" s="582"/>
      <c r="BTI7" s="582"/>
      <c r="BTJ7" s="582"/>
      <c r="BTK7" s="582"/>
      <c r="BTL7" s="582"/>
      <c r="BTM7" s="582"/>
      <c r="BTN7" s="582"/>
      <c r="BTO7" s="582"/>
      <c r="BTP7" s="582"/>
      <c r="BTQ7" s="582"/>
      <c r="BTR7" s="582"/>
      <c r="BTS7" s="582"/>
      <c r="BTT7" s="582"/>
      <c r="BTU7" s="582"/>
      <c r="BTV7" s="582"/>
      <c r="BTW7" s="582"/>
      <c r="BTX7" s="582"/>
      <c r="BTY7" s="582"/>
      <c r="BTZ7" s="582"/>
      <c r="BUA7" s="582"/>
      <c r="BUB7" s="582"/>
      <c r="BUC7" s="582"/>
      <c r="BUD7" s="582"/>
      <c r="BUE7" s="582"/>
      <c r="BUF7" s="582"/>
      <c r="BUG7" s="582"/>
      <c r="BUH7" s="582"/>
      <c r="BUI7" s="582"/>
      <c r="BUJ7" s="582"/>
      <c r="BUK7" s="582"/>
      <c r="BUL7" s="582"/>
      <c r="BUM7" s="582"/>
      <c r="BUN7" s="582"/>
      <c r="BUO7" s="582"/>
      <c r="BUP7" s="582"/>
      <c r="BUQ7" s="582"/>
      <c r="BUR7" s="582"/>
      <c r="BUS7" s="582"/>
      <c r="BUT7" s="582"/>
      <c r="BUU7" s="582"/>
      <c r="BUV7" s="582"/>
      <c r="BUW7" s="582"/>
      <c r="BUX7" s="582"/>
      <c r="BUY7" s="582"/>
      <c r="BUZ7" s="582"/>
      <c r="BVA7" s="582"/>
      <c r="BVB7" s="582"/>
      <c r="BVC7" s="582"/>
      <c r="BVD7" s="582"/>
      <c r="BVE7" s="582"/>
      <c r="BVF7" s="582"/>
      <c r="BVG7" s="582"/>
      <c r="BVH7" s="582"/>
      <c r="BVI7" s="582"/>
      <c r="BVJ7" s="582"/>
      <c r="BVK7" s="582"/>
      <c r="BVL7" s="582"/>
      <c r="BVM7" s="582"/>
      <c r="BVN7" s="582"/>
      <c r="BVO7" s="582"/>
      <c r="BVP7" s="582"/>
      <c r="BVQ7" s="582"/>
      <c r="BVR7" s="582"/>
      <c r="BVS7" s="582"/>
      <c r="BVT7" s="582"/>
      <c r="BVU7" s="582"/>
      <c r="BVV7" s="582"/>
      <c r="BVW7" s="582"/>
      <c r="BVX7" s="582"/>
      <c r="BVY7" s="582"/>
      <c r="BVZ7" s="582"/>
      <c r="BWA7" s="582"/>
      <c r="BWB7" s="582"/>
      <c r="BWC7" s="582"/>
      <c r="BWD7" s="582"/>
      <c r="BWE7" s="582"/>
      <c r="BWF7" s="582"/>
      <c r="BWG7" s="582"/>
      <c r="BWH7" s="582"/>
      <c r="BWI7" s="582"/>
      <c r="BWJ7" s="582"/>
      <c r="BWK7" s="582"/>
      <c r="BWL7" s="582"/>
      <c r="BWM7" s="582"/>
      <c r="BWN7" s="582"/>
      <c r="BWO7" s="582"/>
      <c r="BWP7" s="582"/>
      <c r="BWQ7" s="582"/>
      <c r="BWR7" s="582"/>
      <c r="BWS7" s="582"/>
      <c r="BWT7" s="582"/>
      <c r="BWU7" s="582"/>
      <c r="BWV7" s="582"/>
      <c r="BWW7" s="582"/>
      <c r="BWX7" s="582"/>
      <c r="BWY7" s="582"/>
      <c r="BWZ7" s="582"/>
      <c r="BXA7" s="582"/>
      <c r="BXB7" s="582"/>
      <c r="BXC7" s="582"/>
      <c r="BXD7" s="582"/>
      <c r="BXE7" s="582"/>
      <c r="BXF7" s="582"/>
      <c r="BXG7" s="582"/>
      <c r="BXH7" s="582"/>
      <c r="BXI7" s="582"/>
      <c r="BXJ7" s="582"/>
      <c r="BXK7" s="582"/>
      <c r="BXL7" s="582"/>
      <c r="BXM7" s="582"/>
      <c r="BXN7" s="582"/>
      <c r="BXO7" s="582"/>
      <c r="BXP7" s="582"/>
      <c r="BXQ7" s="582"/>
      <c r="BXR7" s="582"/>
      <c r="BXS7" s="582"/>
      <c r="BXT7" s="582"/>
      <c r="BXU7" s="582"/>
      <c r="BXV7" s="582"/>
      <c r="BXW7" s="582"/>
      <c r="BXX7" s="582"/>
      <c r="BXY7" s="582"/>
      <c r="BXZ7" s="582"/>
      <c r="BYA7" s="582"/>
      <c r="BYB7" s="582"/>
      <c r="BYC7" s="582"/>
      <c r="BYD7" s="582"/>
      <c r="BYE7" s="582"/>
      <c r="BYF7" s="582"/>
      <c r="BYG7" s="582"/>
      <c r="BYH7" s="582"/>
      <c r="BYI7" s="582"/>
      <c r="BYJ7" s="582"/>
      <c r="BYK7" s="582"/>
      <c r="BYL7" s="582"/>
      <c r="BYM7" s="582"/>
      <c r="BYN7" s="582"/>
      <c r="BYO7" s="582"/>
      <c r="BYP7" s="582"/>
      <c r="BYQ7" s="582"/>
      <c r="BYR7" s="582"/>
      <c r="BYS7" s="582"/>
      <c r="BYT7" s="582"/>
      <c r="BYU7" s="582"/>
      <c r="BYV7" s="582"/>
      <c r="BYW7" s="582"/>
      <c r="BYX7" s="582"/>
      <c r="BYY7" s="582"/>
      <c r="BYZ7" s="582"/>
      <c r="BZA7" s="582"/>
      <c r="BZB7" s="582"/>
      <c r="BZC7" s="582"/>
      <c r="BZD7" s="582"/>
      <c r="BZE7" s="582"/>
      <c r="BZF7" s="582"/>
      <c r="BZG7" s="582"/>
      <c r="BZH7" s="582"/>
      <c r="BZI7" s="582"/>
      <c r="BZJ7" s="582"/>
      <c r="BZK7" s="582"/>
      <c r="BZL7" s="582"/>
      <c r="BZM7" s="582"/>
      <c r="BZN7" s="582"/>
      <c r="BZO7" s="582"/>
      <c r="BZP7" s="582"/>
      <c r="BZQ7" s="582"/>
      <c r="BZR7" s="582"/>
      <c r="BZS7" s="582"/>
      <c r="BZT7" s="582"/>
      <c r="BZU7" s="582"/>
      <c r="BZV7" s="582"/>
      <c r="BZW7" s="582"/>
      <c r="BZX7" s="582"/>
      <c r="BZY7" s="582"/>
      <c r="BZZ7" s="582"/>
      <c r="CAA7" s="582"/>
      <c r="CAB7" s="582"/>
      <c r="CAC7" s="582"/>
      <c r="CAD7" s="582"/>
      <c r="CAE7" s="582"/>
      <c r="CAF7" s="582"/>
      <c r="CAG7" s="582"/>
      <c r="CAH7" s="582"/>
      <c r="CAI7" s="582"/>
      <c r="CAJ7" s="582"/>
      <c r="CAK7" s="582"/>
      <c r="CAL7" s="582"/>
      <c r="CAM7" s="582"/>
      <c r="CAN7" s="582"/>
      <c r="CAO7" s="582"/>
      <c r="CAP7" s="582"/>
      <c r="CAQ7" s="582"/>
      <c r="CAR7" s="582"/>
      <c r="CAS7" s="582"/>
      <c r="CAT7" s="582"/>
      <c r="CAU7" s="582"/>
      <c r="CAV7" s="582"/>
      <c r="CAW7" s="582"/>
      <c r="CAX7" s="582"/>
      <c r="CAY7" s="582"/>
      <c r="CAZ7" s="582"/>
      <c r="CBA7" s="582"/>
      <c r="CBB7" s="582"/>
      <c r="CBC7" s="582"/>
      <c r="CBD7" s="582"/>
      <c r="CBE7" s="582"/>
      <c r="CBF7" s="582"/>
      <c r="CBG7" s="582"/>
      <c r="CBH7" s="582"/>
      <c r="CBI7" s="582"/>
      <c r="CBJ7" s="582"/>
      <c r="CBK7" s="582"/>
      <c r="CBL7" s="582"/>
      <c r="CBM7" s="582"/>
      <c r="CBN7" s="582"/>
      <c r="CBO7" s="582"/>
      <c r="CBP7" s="582"/>
      <c r="CBQ7" s="582"/>
      <c r="CBR7" s="582"/>
      <c r="CBS7" s="582"/>
      <c r="CBT7" s="582"/>
      <c r="CBU7" s="582"/>
      <c r="CBV7" s="582"/>
      <c r="CBW7" s="582"/>
      <c r="CBX7" s="582"/>
      <c r="CBY7" s="582"/>
      <c r="CBZ7" s="582"/>
      <c r="CCA7" s="582"/>
      <c r="CCB7" s="582"/>
      <c r="CCC7" s="582"/>
      <c r="CCD7" s="582"/>
      <c r="CCE7" s="582"/>
      <c r="CCF7" s="582"/>
      <c r="CCG7" s="582"/>
      <c r="CCH7" s="582"/>
      <c r="CCI7" s="582"/>
      <c r="CCJ7" s="582"/>
      <c r="CCK7" s="582"/>
      <c r="CCL7" s="582"/>
      <c r="CCM7" s="582"/>
      <c r="CCN7" s="582"/>
      <c r="CCO7" s="582"/>
      <c r="CCP7" s="582"/>
      <c r="CCQ7" s="582"/>
      <c r="CCR7" s="582"/>
      <c r="CCS7" s="582"/>
      <c r="CCT7" s="582"/>
      <c r="CCU7" s="582"/>
      <c r="CCV7" s="582"/>
      <c r="CCW7" s="582"/>
      <c r="CCX7" s="582"/>
      <c r="CCY7" s="582"/>
      <c r="CCZ7" s="582"/>
      <c r="CDA7" s="582"/>
      <c r="CDB7" s="582"/>
      <c r="CDC7" s="582"/>
      <c r="CDD7" s="582"/>
      <c r="CDE7" s="582"/>
      <c r="CDF7" s="582"/>
      <c r="CDG7" s="582"/>
      <c r="CDH7" s="582"/>
      <c r="CDI7" s="582"/>
      <c r="CDJ7" s="582"/>
      <c r="CDK7" s="582"/>
      <c r="CDL7" s="582"/>
      <c r="CDM7" s="582"/>
      <c r="CDN7" s="582"/>
      <c r="CDO7" s="582"/>
      <c r="CDP7" s="582"/>
      <c r="CDQ7" s="582"/>
      <c r="CDR7" s="582"/>
      <c r="CDS7" s="582"/>
      <c r="CDT7" s="582"/>
      <c r="CDU7" s="582"/>
      <c r="CDV7" s="582"/>
      <c r="CDW7" s="582"/>
      <c r="CDX7" s="582"/>
      <c r="CDY7" s="582"/>
      <c r="CDZ7" s="582"/>
      <c r="CEA7" s="582"/>
      <c r="CEB7" s="582"/>
      <c r="CEC7" s="582"/>
      <c r="CED7" s="582"/>
      <c r="CEE7" s="582"/>
      <c r="CEF7" s="582"/>
      <c r="CEG7" s="582"/>
      <c r="CEH7" s="582"/>
      <c r="CEI7" s="582"/>
      <c r="CEJ7" s="582"/>
      <c r="CEK7" s="582"/>
      <c r="CEL7" s="582"/>
      <c r="CEM7" s="582"/>
      <c r="CEN7" s="582"/>
      <c r="CEO7" s="582"/>
      <c r="CEP7" s="582"/>
      <c r="CEQ7" s="582"/>
      <c r="CER7" s="582"/>
      <c r="CES7" s="582"/>
      <c r="CET7" s="582"/>
      <c r="CEU7" s="582"/>
      <c r="CEV7" s="582"/>
      <c r="CEW7" s="582"/>
      <c r="CEX7" s="582"/>
      <c r="CEY7" s="582"/>
      <c r="CEZ7" s="582"/>
      <c r="CFA7" s="582"/>
      <c r="CFB7" s="582"/>
      <c r="CFC7" s="582"/>
      <c r="CFD7" s="582"/>
      <c r="CFE7" s="582"/>
      <c r="CFF7" s="582"/>
      <c r="CFG7" s="582"/>
      <c r="CFH7" s="582"/>
      <c r="CFI7" s="582"/>
      <c r="CFJ7" s="582"/>
      <c r="CFK7" s="582"/>
      <c r="CFL7" s="582"/>
      <c r="CFM7" s="582"/>
      <c r="CFN7" s="582"/>
      <c r="CFO7" s="582"/>
      <c r="CFP7" s="582"/>
      <c r="CFQ7" s="582"/>
      <c r="CFR7" s="582"/>
      <c r="CFS7" s="582"/>
      <c r="CFT7" s="582"/>
      <c r="CFU7" s="582"/>
      <c r="CFV7" s="582"/>
      <c r="CFW7" s="582"/>
      <c r="CFX7" s="582"/>
      <c r="CFY7" s="582"/>
      <c r="CFZ7" s="582"/>
      <c r="CGA7" s="582"/>
      <c r="CGB7" s="582"/>
      <c r="CGC7" s="582"/>
      <c r="CGD7" s="582"/>
      <c r="CGE7" s="582"/>
      <c r="CGF7" s="582"/>
      <c r="CGG7" s="582"/>
      <c r="CGH7" s="582"/>
      <c r="CGI7" s="582"/>
      <c r="CGJ7" s="582"/>
      <c r="CGK7" s="582"/>
      <c r="CGL7" s="582"/>
      <c r="CGM7" s="582"/>
      <c r="CGN7" s="582"/>
      <c r="CGO7" s="582"/>
      <c r="CGP7" s="582"/>
      <c r="CGQ7" s="582"/>
      <c r="CGR7" s="582"/>
      <c r="CGS7" s="582"/>
      <c r="CGT7" s="582"/>
      <c r="CGU7" s="582"/>
      <c r="CGV7" s="582"/>
      <c r="CGW7" s="582"/>
      <c r="CGX7" s="582"/>
      <c r="CGY7" s="582"/>
      <c r="CGZ7" s="582"/>
      <c r="CHA7" s="582"/>
      <c r="CHB7" s="582"/>
      <c r="CHC7" s="582"/>
      <c r="CHD7" s="582"/>
      <c r="CHE7" s="582"/>
      <c r="CHF7" s="582"/>
      <c r="CHG7" s="582"/>
      <c r="CHH7" s="582"/>
      <c r="CHI7" s="582"/>
      <c r="CHJ7" s="582"/>
      <c r="CHK7" s="582"/>
      <c r="CHL7" s="582"/>
      <c r="CHM7" s="582"/>
      <c r="CHN7" s="582"/>
      <c r="CHO7" s="582"/>
      <c r="CHP7" s="582"/>
      <c r="CHQ7" s="582"/>
      <c r="CHR7" s="582"/>
      <c r="CHS7" s="582"/>
      <c r="CHT7" s="582"/>
      <c r="CHU7" s="582"/>
      <c r="CHV7" s="582"/>
      <c r="CHW7" s="582"/>
      <c r="CHX7" s="582"/>
      <c r="CHY7" s="582"/>
      <c r="CHZ7" s="582"/>
      <c r="CIA7" s="582"/>
      <c r="CIB7" s="582"/>
      <c r="CIC7" s="582"/>
      <c r="CID7" s="582"/>
      <c r="CIE7" s="582"/>
      <c r="CIF7" s="582"/>
      <c r="CIG7" s="582"/>
      <c r="CIH7" s="582"/>
      <c r="CII7" s="582"/>
      <c r="CIJ7" s="582"/>
      <c r="CIK7" s="582"/>
      <c r="CIL7" s="582"/>
      <c r="CIM7" s="582"/>
      <c r="CIN7" s="582"/>
      <c r="CIO7" s="582"/>
      <c r="CIP7" s="582"/>
      <c r="CIQ7" s="582"/>
      <c r="CIR7" s="582"/>
      <c r="CIS7" s="582"/>
      <c r="CIT7" s="582"/>
      <c r="CIU7" s="582"/>
      <c r="CIV7" s="582"/>
      <c r="CIW7" s="582"/>
      <c r="CIX7" s="582"/>
      <c r="CIY7" s="582"/>
      <c r="CIZ7" s="582"/>
      <c r="CJA7" s="582"/>
      <c r="CJB7" s="582"/>
      <c r="CJC7" s="582"/>
      <c r="CJD7" s="582"/>
      <c r="CJE7" s="582"/>
      <c r="CJF7" s="582"/>
      <c r="CJG7" s="582"/>
      <c r="CJH7" s="582"/>
      <c r="CJI7" s="582"/>
      <c r="CJJ7" s="582"/>
      <c r="CJK7" s="582"/>
      <c r="CJL7" s="582"/>
      <c r="CJM7" s="582"/>
      <c r="CJN7" s="582"/>
      <c r="CJO7" s="582"/>
      <c r="CJP7" s="582"/>
      <c r="CJQ7" s="582"/>
      <c r="CJR7" s="582"/>
      <c r="CJS7" s="582"/>
      <c r="CJT7" s="582"/>
      <c r="CJU7" s="582"/>
      <c r="CJV7" s="582"/>
      <c r="CJW7" s="582"/>
      <c r="CJX7" s="582"/>
      <c r="CJY7" s="582"/>
      <c r="CJZ7" s="582"/>
      <c r="CKA7" s="582"/>
      <c r="CKB7" s="582"/>
      <c r="CKC7" s="582"/>
      <c r="CKD7" s="582"/>
      <c r="CKE7" s="582"/>
      <c r="CKF7" s="582"/>
      <c r="CKG7" s="582"/>
      <c r="CKH7" s="582"/>
      <c r="CKI7" s="582"/>
      <c r="CKJ7" s="582"/>
      <c r="CKK7" s="582"/>
      <c r="CKL7" s="582"/>
      <c r="CKM7" s="582"/>
      <c r="CKN7" s="582"/>
      <c r="CKO7" s="582"/>
      <c r="CKP7" s="582"/>
      <c r="CKQ7" s="582"/>
      <c r="CKR7" s="582"/>
      <c r="CKS7" s="582"/>
      <c r="CKT7" s="582"/>
      <c r="CKU7" s="582"/>
      <c r="CKV7" s="582"/>
      <c r="CKW7" s="582"/>
      <c r="CKX7" s="582"/>
      <c r="CKY7" s="582"/>
      <c r="CKZ7" s="582"/>
      <c r="CLA7" s="582"/>
      <c r="CLB7" s="582"/>
      <c r="CLC7" s="582"/>
      <c r="CLD7" s="582"/>
      <c r="CLE7" s="582"/>
      <c r="CLF7" s="582"/>
      <c r="CLG7" s="582"/>
      <c r="CLH7" s="582"/>
      <c r="CLI7" s="582"/>
      <c r="CLJ7" s="582"/>
      <c r="CLK7" s="582"/>
      <c r="CLL7" s="582"/>
      <c r="CLM7" s="582"/>
      <c r="CLN7" s="582"/>
      <c r="CLO7" s="582"/>
      <c r="CLP7" s="582"/>
      <c r="CLQ7" s="582"/>
      <c r="CLR7" s="582"/>
      <c r="CLS7" s="582"/>
      <c r="CLT7" s="582"/>
      <c r="CLU7" s="582"/>
      <c r="CLV7" s="582"/>
      <c r="CLW7" s="582"/>
      <c r="CLX7" s="582"/>
      <c r="CLY7" s="582"/>
      <c r="CLZ7" s="582"/>
      <c r="CMA7" s="582"/>
      <c r="CMB7" s="582"/>
      <c r="CMC7" s="582"/>
      <c r="CMD7" s="582"/>
      <c r="CME7" s="582"/>
      <c r="CMF7" s="582"/>
      <c r="CMG7" s="582"/>
      <c r="CMH7" s="582"/>
      <c r="CMI7" s="582"/>
      <c r="CMJ7" s="582"/>
      <c r="CMK7" s="582"/>
      <c r="CML7" s="582"/>
      <c r="CMM7" s="582"/>
      <c r="CMN7" s="582"/>
      <c r="CMO7" s="582"/>
      <c r="CMP7" s="582"/>
      <c r="CMQ7" s="582"/>
      <c r="CMR7" s="582"/>
      <c r="CMS7" s="582"/>
      <c r="CMT7" s="582"/>
      <c r="CMU7" s="582"/>
      <c r="CMV7" s="582"/>
      <c r="CMW7" s="582"/>
      <c r="CMX7" s="582"/>
      <c r="CMY7" s="582"/>
      <c r="CMZ7" s="582"/>
      <c r="CNA7" s="582"/>
      <c r="CNB7" s="582"/>
      <c r="CNC7" s="582"/>
      <c r="CND7" s="582"/>
      <c r="CNE7" s="582"/>
      <c r="CNF7" s="582"/>
      <c r="CNG7" s="582"/>
      <c r="CNH7" s="582"/>
      <c r="CNI7" s="582"/>
      <c r="CNJ7" s="582"/>
      <c r="CNK7" s="582"/>
      <c r="CNL7" s="582"/>
      <c r="CNM7" s="582"/>
      <c r="CNN7" s="582"/>
      <c r="CNO7" s="582"/>
      <c r="CNP7" s="582"/>
      <c r="CNQ7" s="582"/>
      <c r="CNR7" s="582"/>
      <c r="CNS7" s="582"/>
      <c r="CNT7" s="582"/>
      <c r="CNU7" s="582"/>
      <c r="CNV7" s="582"/>
      <c r="CNW7" s="582"/>
      <c r="CNX7" s="582"/>
      <c r="CNY7" s="582"/>
      <c r="CNZ7" s="582"/>
      <c r="COA7" s="582"/>
      <c r="COB7" s="582"/>
      <c r="COC7" s="582"/>
      <c r="COD7" s="582"/>
      <c r="COE7" s="582"/>
      <c r="COF7" s="582"/>
      <c r="COG7" s="582"/>
      <c r="COH7" s="582"/>
      <c r="COI7" s="582"/>
      <c r="COJ7" s="582"/>
      <c r="COK7" s="582"/>
      <c r="COL7" s="582"/>
      <c r="COM7" s="582"/>
      <c r="CON7" s="582"/>
      <c r="COO7" s="582"/>
      <c r="COP7" s="582"/>
      <c r="COQ7" s="582"/>
      <c r="COR7" s="582"/>
      <c r="COS7" s="582"/>
      <c r="COT7" s="582"/>
      <c r="COU7" s="582"/>
      <c r="COV7" s="582"/>
      <c r="COW7" s="582"/>
      <c r="COX7" s="582"/>
      <c r="COY7" s="582"/>
      <c r="COZ7" s="582"/>
      <c r="CPA7" s="582"/>
      <c r="CPB7" s="582"/>
      <c r="CPC7" s="582"/>
      <c r="CPD7" s="582"/>
      <c r="CPE7" s="582"/>
      <c r="CPF7" s="582"/>
      <c r="CPG7" s="582"/>
      <c r="CPH7" s="582"/>
      <c r="CPI7" s="582"/>
      <c r="CPJ7" s="582"/>
      <c r="CPK7" s="582"/>
      <c r="CPL7" s="582"/>
      <c r="CPM7" s="582"/>
      <c r="CPN7" s="582"/>
      <c r="CPO7" s="582"/>
      <c r="CPP7" s="582"/>
      <c r="CPQ7" s="582"/>
      <c r="CPR7" s="582"/>
      <c r="CPS7" s="582"/>
      <c r="CPT7" s="582"/>
      <c r="CPU7" s="582"/>
      <c r="CPV7" s="582"/>
      <c r="CPW7" s="582"/>
      <c r="CPX7" s="582"/>
      <c r="CPY7" s="582"/>
      <c r="CPZ7" s="582"/>
      <c r="CQA7" s="582"/>
      <c r="CQB7" s="582"/>
      <c r="CQC7" s="582"/>
      <c r="CQD7" s="582"/>
      <c r="CQE7" s="582"/>
      <c r="CQF7" s="582"/>
      <c r="CQG7" s="582"/>
      <c r="CQH7" s="582"/>
      <c r="CQI7" s="582"/>
      <c r="CQJ7" s="582"/>
      <c r="CQK7" s="582"/>
      <c r="CQL7" s="582"/>
      <c r="CQM7" s="582"/>
      <c r="CQN7" s="582"/>
      <c r="CQO7" s="582"/>
      <c r="CQP7" s="582"/>
      <c r="CQQ7" s="582"/>
      <c r="CQR7" s="582"/>
      <c r="CQS7" s="582"/>
      <c r="CQT7" s="582"/>
      <c r="CQU7" s="582"/>
      <c r="CQV7" s="582"/>
      <c r="CQW7" s="582"/>
      <c r="CQX7" s="582"/>
      <c r="CQY7" s="582"/>
      <c r="CQZ7" s="582"/>
      <c r="CRA7" s="582"/>
      <c r="CRB7" s="582"/>
      <c r="CRC7" s="582"/>
      <c r="CRD7" s="582"/>
      <c r="CRE7" s="582"/>
      <c r="CRF7" s="582"/>
      <c r="CRG7" s="582"/>
      <c r="CRH7" s="582"/>
      <c r="CRI7" s="582"/>
      <c r="CRJ7" s="582"/>
      <c r="CRK7" s="582"/>
      <c r="CRL7" s="582"/>
      <c r="CRM7" s="582"/>
      <c r="CRN7" s="582"/>
      <c r="CRO7" s="582"/>
      <c r="CRP7" s="582"/>
      <c r="CRQ7" s="582"/>
      <c r="CRR7" s="582"/>
      <c r="CRS7" s="582"/>
      <c r="CRT7" s="582"/>
      <c r="CRU7" s="582"/>
      <c r="CRV7" s="582"/>
      <c r="CRW7" s="582"/>
      <c r="CRX7" s="582"/>
      <c r="CRY7" s="582"/>
      <c r="CRZ7" s="582"/>
      <c r="CSA7" s="582"/>
      <c r="CSB7" s="582"/>
      <c r="CSC7" s="582"/>
      <c r="CSD7" s="582"/>
      <c r="CSE7" s="582"/>
      <c r="CSF7" s="582"/>
      <c r="CSG7" s="582"/>
      <c r="CSH7" s="582"/>
      <c r="CSI7" s="582"/>
      <c r="CSJ7" s="582"/>
      <c r="CSK7" s="582"/>
      <c r="CSL7" s="582"/>
      <c r="CSM7" s="582"/>
      <c r="CSN7" s="582"/>
      <c r="CSO7" s="582"/>
      <c r="CSP7" s="582"/>
      <c r="CSQ7" s="582"/>
      <c r="CSR7" s="582"/>
      <c r="CSS7" s="582"/>
      <c r="CST7" s="582"/>
      <c r="CSU7" s="582"/>
      <c r="CSV7" s="582"/>
      <c r="CSW7" s="582"/>
      <c r="CSX7" s="582"/>
      <c r="CSY7" s="582"/>
      <c r="CSZ7" s="582"/>
      <c r="CTA7" s="582"/>
      <c r="CTB7" s="582"/>
      <c r="CTC7" s="582"/>
      <c r="CTD7" s="582"/>
      <c r="CTE7" s="582"/>
      <c r="CTF7" s="582"/>
      <c r="CTG7" s="582"/>
      <c r="CTH7" s="582"/>
      <c r="CTI7" s="582"/>
      <c r="CTJ7" s="582"/>
      <c r="CTK7" s="582"/>
      <c r="CTL7" s="582"/>
      <c r="CTM7" s="582"/>
      <c r="CTN7" s="582"/>
      <c r="CTO7" s="582"/>
      <c r="CTP7" s="582"/>
      <c r="CTQ7" s="582"/>
      <c r="CTR7" s="582"/>
      <c r="CTS7" s="582"/>
      <c r="CTT7" s="582"/>
      <c r="CTU7" s="582"/>
      <c r="CTV7" s="582"/>
      <c r="CTW7" s="582"/>
      <c r="CTX7" s="582"/>
      <c r="CTY7" s="582"/>
      <c r="CTZ7" s="582"/>
      <c r="CUA7" s="582"/>
      <c r="CUB7" s="582"/>
      <c r="CUC7" s="582"/>
      <c r="CUD7" s="582"/>
      <c r="CUE7" s="582"/>
      <c r="CUF7" s="582"/>
      <c r="CUG7" s="582"/>
      <c r="CUH7" s="582"/>
      <c r="CUI7" s="582"/>
      <c r="CUJ7" s="582"/>
      <c r="CUK7" s="582"/>
      <c r="CUL7" s="582"/>
      <c r="CUM7" s="582"/>
      <c r="CUN7" s="582"/>
      <c r="CUO7" s="582"/>
      <c r="CUP7" s="582"/>
      <c r="CUQ7" s="582"/>
      <c r="CUR7" s="582"/>
      <c r="CUS7" s="582"/>
      <c r="CUT7" s="582"/>
      <c r="CUU7" s="582"/>
      <c r="CUV7" s="582"/>
      <c r="CUW7" s="582"/>
      <c r="CUX7" s="582"/>
      <c r="CUY7" s="582"/>
      <c r="CUZ7" s="582"/>
      <c r="CVA7" s="582"/>
      <c r="CVB7" s="582"/>
      <c r="CVC7" s="582"/>
      <c r="CVD7" s="582"/>
      <c r="CVE7" s="582"/>
      <c r="CVF7" s="582"/>
      <c r="CVG7" s="582"/>
      <c r="CVH7" s="582"/>
      <c r="CVI7" s="582"/>
      <c r="CVJ7" s="582"/>
      <c r="CVK7" s="582"/>
      <c r="CVL7" s="582"/>
      <c r="CVM7" s="582"/>
      <c r="CVN7" s="582"/>
      <c r="CVO7" s="582"/>
      <c r="CVP7" s="582"/>
      <c r="CVQ7" s="582"/>
      <c r="CVR7" s="582"/>
      <c r="CVS7" s="582"/>
      <c r="CVT7" s="582"/>
      <c r="CVU7" s="582"/>
      <c r="CVV7" s="582"/>
      <c r="CVW7" s="582"/>
      <c r="CVX7" s="582"/>
      <c r="CVY7" s="582"/>
      <c r="CVZ7" s="582"/>
      <c r="CWA7" s="582"/>
      <c r="CWB7" s="582"/>
      <c r="CWC7" s="582"/>
      <c r="CWD7" s="582"/>
      <c r="CWE7" s="582"/>
      <c r="CWF7" s="582"/>
      <c r="CWG7" s="582"/>
      <c r="CWH7" s="582"/>
      <c r="CWI7" s="582"/>
      <c r="CWJ7" s="582"/>
      <c r="CWK7" s="582"/>
      <c r="CWL7" s="582"/>
      <c r="CWM7" s="582"/>
      <c r="CWN7" s="582"/>
      <c r="CWO7" s="582"/>
      <c r="CWP7" s="582"/>
      <c r="CWQ7" s="582"/>
      <c r="CWR7" s="582"/>
      <c r="CWS7" s="582"/>
      <c r="CWT7" s="582"/>
      <c r="CWU7" s="582"/>
      <c r="CWV7" s="582"/>
      <c r="CWW7" s="582"/>
      <c r="CWX7" s="582"/>
      <c r="CWY7" s="582"/>
      <c r="CWZ7" s="582"/>
      <c r="CXA7" s="582"/>
      <c r="CXB7" s="582"/>
      <c r="CXC7" s="582"/>
      <c r="CXD7" s="582"/>
      <c r="CXE7" s="582"/>
      <c r="CXF7" s="582"/>
      <c r="CXG7" s="582"/>
      <c r="CXH7" s="582"/>
      <c r="CXI7" s="582"/>
      <c r="CXJ7" s="582"/>
      <c r="CXK7" s="582"/>
      <c r="CXL7" s="582"/>
      <c r="CXM7" s="582"/>
      <c r="CXN7" s="582"/>
      <c r="CXO7" s="582"/>
      <c r="CXP7" s="582"/>
      <c r="CXQ7" s="582"/>
      <c r="CXR7" s="582"/>
      <c r="CXS7" s="582"/>
      <c r="CXT7" s="582"/>
      <c r="CXU7" s="582"/>
      <c r="CXV7" s="582"/>
      <c r="CXW7" s="582"/>
      <c r="CXX7" s="582"/>
      <c r="CXY7" s="582"/>
      <c r="CXZ7" s="582"/>
      <c r="CYA7" s="582"/>
      <c r="CYB7" s="582"/>
      <c r="CYC7" s="582"/>
      <c r="CYD7" s="582"/>
      <c r="CYE7" s="582"/>
      <c r="CYF7" s="582"/>
      <c r="CYG7" s="582"/>
      <c r="CYH7" s="582"/>
      <c r="CYI7" s="582"/>
      <c r="CYJ7" s="582"/>
      <c r="CYK7" s="582"/>
      <c r="CYL7" s="582"/>
      <c r="CYM7" s="582"/>
      <c r="CYN7" s="582"/>
      <c r="CYO7" s="582"/>
      <c r="CYP7" s="582"/>
      <c r="CYQ7" s="582"/>
      <c r="CYR7" s="582"/>
      <c r="CYS7" s="582"/>
      <c r="CYT7" s="582"/>
      <c r="CYU7" s="582"/>
      <c r="CYV7" s="582"/>
      <c r="CYW7" s="582"/>
      <c r="CYX7" s="582"/>
      <c r="CYY7" s="582"/>
      <c r="CYZ7" s="582"/>
      <c r="CZA7" s="582"/>
      <c r="CZB7" s="582"/>
      <c r="CZC7" s="582"/>
      <c r="CZD7" s="582"/>
      <c r="CZE7" s="582"/>
      <c r="CZF7" s="582"/>
      <c r="CZG7" s="582"/>
      <c r="CZH7" s="582"/>
      <c r="CZI7" s="582"/>
      <c r="CZJ7" s="582"/>
      <c r="CZK7" s="582"/>
      <c r="CZL7" s="582"/>
      <c r="CZM7" s="582"/>
      <c r="CZN7" s="582"/>
      <c r="CZO7" s="582"/>
      <c r="CZP7" s="582"/>
      <c r="CZQ7" s="582"/>
      <c r="CZR7" s="582"/>
      <c r="CZS7" s="582"/>
      <c r="CZT7" s="582"/>
      <c r="CZU7" s="582"/>
      <c r="CZV7" s="582"/>
      <c r="CZW7" s="582"/>
      <c r="CZX7" s="582"/>
      <c r="CZY7" s="582"/>
      <c r="CZZ7" s="582"/>
      <c r="DAA7" s="582"/>
      <c r="DAB7" s="582"/>
      <c r="DAC7" s="582"/>
      <c r="DAD7" s="582"/>
      <c r="DAE7" s="582"/>
      <c r="DAF7" s="582"/>
      <c r="DAG7" s="582"/>
      <c r="DAH7" s="582"/>
      <c r="DAI7" s="582"/>
      <c r="DAJ7" s="582"/>
      <c r="DAK7" s="582"/>
      <c r="DAL7" s="582"/>
      <c r="DAM7" s="582"/>
      <c r="DAN7" s="582"/>
      <c r="DAO7" s="582"/>
      <c r="DAP7" s="582"/>
      <c r="DAQ7" s="582"/>
      <c r="DAR7" s="582"/>
      <c r="DAS7" s="582"/>
      <c r="DAT7" s="582"/>
      <c r="DAU7" s="582"/>
      <c r="DAV7" s="582"/>
      <c r="DAW7" s="582"/>
      <c r="DAX7" s="582"/>
      <c r="DAY7" s="582"/>
      <c r="DAZ7" s="582"/>
      <c r="DBA7" s="582"/>
      <c r="DBB7" s="582"/>
      <c r="DBC7" s="582"/>
      <c r="DBD7" s="582"/>
      <c r="DBE7" s="582"/>
      <c r="DBF7" s="582"/>
      <c r="DBG7" s="582"/>
      <c r="DBH7" s="582"/>
      <c r="DBI7" s="582"/>
      <c r="DBJ7" s="582"/>
      <c r="DBK7" s="582"/>
      <c r="DBL7" s="582"/>
      <c r="DBM7" s="582"/>
      <c r="DBN7" s="582"/>
      <c r="DBO7" s="582"/>
      <c r="DBP7" s="582"/>
      <c r="DBQ7" s="582"/>
      <c r="DBR7" s="582"/>
      <c r="DBS7" s="582"/>
      <c r="DBT7" s="582"/>
      <c r="DBU7" s="582"/>
      <c r="DBV7" s="582"/>
      <c r="DBW7" s="582"/>
      <c r="DBX7" s="582"/>
      <c r="DBY7" s="582"/>
      <c r="DBZ7" s="582"/>
      <c r="DCA7" s="582"/>
      <c r="DCB7" s="582"/>
      <c r="DCC7" s="582"/>
      <c r="DCD7" s="582"/>
      <c r="DCE7" s="582"/>
      <c r="DCF7" s="582"/>
      <c r="DCG7" s="582"/>
      <c r="DCH7" s="582"/>
      <c r="DCI7" s="582"/>
      <c r="DCJ7" s="582"/>
      <c r="DCK7" s="582"/>
      <c r="DCL7" s="582"/>
      <c r="DCM7" s="582"/>
      <c r="DCN7" s="582"/>
      <c r="DCO7" s="582"/>
      <c r="DCP7" s="582"/>
      <c r="DCQ7" s="582"/>
      <c r="DCR7" s="582"/>
      <c r="DCS7" s="582"/>
      <c r="DCT7" s="582"/>
      <c r="DCU7" s="582"/>
      <c r="DCV7" s="582"/>
      <c r="DCW7" s="582"/>
      <c r="DCX7" s="582"/>
      <c r="DCY7" s="582"/>
      <c r="DCZ7" s="582"/>
      <c r="DDA7" s="582"/>
      <c r="DDB7" s="582"/>
      <c r="DDC7" s="582"/>
      <c r="DDD7" s="582"/>
      <c r="DDE7" s="582"/>
      <c r="DDF7" s="582"/>
      <c r="DDG7" s="582"/>
      <c r="DDH7" s="582"/>
      <c r="DDI7" s="582"/>
      <c r="DDJ7" s="582"/>
      <c r="DDK7" s="582"/>
      <c r="DDL7" s="582"/>
      <c r="DDM7" s="582"/>
      <c r="DDN7" s="582"/>
      <c r="DDO7" s="582"/>
      <c r="DDP7" s="582"/>
      <c r="DDQ7" s="582"/>
      <c r="DDR7" s="582"/>
      <c r="DDS7" s="582"/>
      <c r="DDT7" s="582"/>
      <c r="DDU7" s="582"/>
      <c r="DDV7" s="582"/>
      <c r="DDW7" s="582"/>
      <c r="DDX7" s="582"/>
      <c r="DDY7" s="582"/>
      <c r="DDZ7" s="582"/>
      <c r="DEA7" s="582"/>
      <c r="DEB7" s="582"/>
      <c r="DEC7" s="582"/>
      <c r="DED7" s="582"/>
      <c r="DEE7" s="582"/>
      <c r="DEF7" s="582"/>
      <c r="DEG7" s="582"/>
      <c r="DEH7" s="582"/>
      <c r="DEI7" s="582"/>
      <c r="DEJ7" s="582"/>
      <c r="DEK7" s="582"/>
      <c r="DEL7" s="582"/>
      <c r="DEM7" s="582"/>
      <c r="DEN7" s="582"/>
      <c r="DEO7" s="582"/>
      <c r="DEP7" s="582"/>
      <c r="DEQ7" s="582"/>
      <c r="DER7" s="582"/>
      <c r="DES7" s="582"/>
      <c r="DET7" s="582"/>
      <c r="DEU7" s="582"/>
      <c r="DEV7" s="582"/>
      <c r="DEW7" s="582"/>
      <c r="DEX7" s="582"/>
      <c r="DEY7" s="582"/>
      <c r="DEZ7" s="582"/>
      <c r="DFA7" s="582"/>
      <c r="DFB7" s="582"/>
      <c r="DFC7" s="582"/>
      <c r="DFD7" s="582"/>
      <c r="DFE7" s="582"/>
      <c r="DFF7" s="582"/>
      <c r="DFG7" s="582"/>
      <c r="DFH7" s="582"/>
      <c r="DFI7" s="582"/>
      <c r="DFJ7" s="582"/>
      <c r="DFK7" s="582"/>
      <c r="DFL7" s="582"/>
      <c r="DFM7" s="582"/>
      <c r="DFN7" s="582"/>
      <c r="DFO7" s="582"/>
      <c r="DFP7" s="582"/>
      <c r="DFQ7" s="582"/>
      <c r="DFR7" s="582"/>
      <c r="DFS7" s="582"/>
      <c r="DFT7" s="582"/>
      <c r="DFU7" s="582"/>
      <c r="DFV7" s="582"/>
      <c r="DFW7" s="582"/>
      <c r="DFX7" s="582"/>
      <c r="DFY7" s="582"/>
      <c r="DFZ7" s="582"/>
      <c r="DGA7" s="582"/>
      <c r="DGB7" s="582"/>
      <c r="DGC7" s="582"/>
      <c r="DGD7" s="582"/>
      <c r="DGE7" s="582"/>
      <c r="DGF7" s="582"/>
      <c r="DGG7" s="582"/>
      <c r="DGH7" s="582"/>
      <c r="DGI7" s="582"/>
      <c r="DGJ7" s="582"/>
      <c r="DGK7" s="582"/>
      <c r="DGL7" s="582"/>
      <c r="DGM7" s="582"/>
      <c r="DGN7" s="582"/>
      <c r="DGO7" s="582"/>
      <c r="DGP7" s="582"/>
      <c r="DGQ7" s="582"/>
      <c r="DGR7" s="582"/>
      <c r="DGS7" s="582"/>
      <c r="DGT7" s="582"/>
      <c r="DGU7" s="582"/>
      <c r="DGV7" s="582"/>
      <c r="DGW7" s="582"/>
      <c r="DGX7" s="582"/>
      <c r="DGY7" s="582"/>
      <c r="DGZ7" s="582"/>
      <c r="DHA7" s="582"/>
      <c r="DHB7" s="582"/>
      <c r="DHC7" s="582"/>
      <c r="DHD7" s="582"/>
      <c r="DHE7" s="582"/>
      <c r="DHF7" s="582"/>
      <c r="DHG7" s="582"/>
      <c r="DHH7" s="582"/>
      <c r="DHI7" s="582"/>
      <c r="DHJ7" s="582"/>
      <c r="DHK7" s="582"/>
      <c r="DHL7" s="582"/>
      <c r="DHM7" s="582"/>
      <c r="DHN7" s="582"/>
      <c r="DHO7" s="582"/>
      <c r="DHP7" s="582"/>
      <c r="DHQ7" s="582"/>
      <c r="DHR7" s="582"/>
      <c r="DHS7" s="582"/>
      <c r="DHT7" s="582"/>
      <c r="DHU7" s="582"/>
      <c r="DHV7" s="582"/>
      <c r="DHW7" s="582"/>
      <c r="DHX7" s="582"/>
      <c r="DHY7" s="582"/>
      <c r="DHZ7" s="582"/>
      <c r="DIA7" s="582"/>
      <c r="DIB7" s="582"/>
      <c r="DIC7" s="582"/>
      <c r="DID7" s="582"/>
      <c r="DIE7" s="582"/>
      <c r="DIF7" s="582"/>
      <c r="DIG7" s="582"/>
      <c r="DIH7" s="582"/>
      <c r="DII7" s="582"/>
      <c r="DIJ7" s="582"/>
      <c r="DIK7" s="582"/>
      <c r="DIL7" s="582"/>
      <c r="DIM7" s="582"/>
      <c r="DIN7" s="582"/>
      <c r="DIO7" s="582"/>
      <c r="DIP7" s="582"/>
      <c r="DIQ7" s="582"/>
      <c r="DIR7" s="582"/>
      <c r="DIS7" s="582"/>
      <c r="DIT7" s="582"/>
      <c r="DIU7" s="582"/>
      <c r="DIV7" s="582"/>
      <c r="DIW7" s="582"/>
      <c r="DIX7" s="582"/>
      <c r="DIY7" s="582"/>
      <c r="DIZ7" s="582"/>
      <c r="DJA7" s="582"/>
      <c r="DJB7" s="582"/>
      <c r="DJC7" s="582"/>
      <c r="DJD7" s="582"/>
      <c r="DJE7" s="582"/>
      <c r="DJF7" s="582"/>
      <c r="DJG7" s="582"/>
      <c r="DJH7" s="582"/>
      <c r="DJI7" s="582"/>
      <c r="DJJ7" s="582"/>
      <c r="DJK7" s="582"/>
      <c r="DJL7" s="582"/>
      <c r="DJM7" s="582"/>
      <c r="DJN7" s="582"/>
      <c r="DJO7" s="582"/>
      <c r="DJP7" s="582"/>
      <c r="DJQ7" s="582"/>
      <c r="DJR7" s="582"/>
      <c r="DJS7" s="582"/>
      <c r="DJT7" s="582"/>
      <c r="DJU7" s="582"/>
      <c r="DJV7" s="582"/>
      <c r="DJW7" s="582"/>
      <c r="DJX7" s="582"/>
      <c r="DJY7" s="582"/>
      <c r="DJZ7" s="582"/>
      <c r="DKA7" s="582"/>
      <c r="DKB7" s="582"/>
      <c r="DKC7" s="582"/>
      <c r="DKD7" s="582"/>
      <c r="DKE7" s="582"/>
      <c r="DKF7" s="582"/>
      <c r="DKG7" s="582"/>
      <c r="DKH7" s="582"/>
      <c r="DKI7" s="582"/>
      <c r="DKJ7" s="582"/>
      <c r="DKK7" s="582"/>
      <c r="DKL7" s="582"/>
      <c r="DKM7" s="582"/>
      <c r="DKN7" s="582"/>
      <c r="DKO7" s="582"/>
      <c r="DKP7" s="582"/>
      <c r="DKQ7" s="582"/>
      <c r="DKR7" s="582"/>
      <c r="DKS7" s="582"/>
      <c r="DKT7" s="582"/>
      <c r="DKU7" s="582"/>
      <c r="DKV7" s="582"/>
      <c r="DKW7" s="582"/>
      <c r="DKX7" s="582"/>
      <c r="DKY7" s="582"/>
      <c r="DKZ7" s="582"/>
      <c r="DLA7" s="582"/>
      <c r="DLB7" s="582"/>
      <c r="DLC7" s="582"/>
      <c r="DLD7" s="582"/>
      <c r="DLE7" s="582"/>
      <c r="DLF7" s="582"/>
      <c r="DLG7" s="582"/>
      <c r="DLH7" s="582"/>
      <c r="DLI7" s="582"/>
      <c r="DLJ7" s="582"/>
      <c r="DLK7" s="582"/>
      <c r="DLL7" s="582"/>
      <c r="DLM7" s="582"/>
      <c r="DLN7" s="582"/>
      <c r="DLO7" s="582"/>
      <c r="DLP7" s="582"/>
      <c r="DLQ7" s="582"/>
      <c r="DLR7" s="582"/>
      <c r="DLS7" s="582"/>
      <c r="DLT7" s="582"/>
      <c r="DLU7" s="582"/>
      <c r="DLV7" s="582"/>
      <c r="DLW7" s="582"/>
      <c r="DLX7" s="582"/>
      <c r="DLY7" s="582"/>
      <c r="DLZ7" s="582"/>
      <c r="DMA7" s="582"/>
      <c r="DMB7" s="582"/>
      <c r="DMC7" s="582"/>
      <c r="DMD7" s="582"/>
      <c r="DME7" s="582"/>
      <c r="DMF7" s="582"/>
      <c r="DMG7" s="582"/>
      <c r="DMH7" s="582"/>
      <c r="DMI7" s="582"/>
      <c r="DMJ7" s="582"/>
      <c r="DMK7" s="582"/>
      <c r="DML7" s="582"/>
      <c r="DMM7" s="582"/>
      <c r="DMN7" s="582"/>
      <c r="DMO7" s="582"/>
      <c r="DMP7" s="582"/>
      <c r="DMQ7" s="582"/>
      <c r="DMR7" s="582"/>
      <c r="DMS7" s="582"/>
      <c r="DMT7" s="582"/>
      <c r="DMU7" s="582"/>
      <c r="DMV7" s="582"/>
      <c r="DMW7" s="582"/>
      <c r="DMX7" s="582"/>
      <c r="DMY7" s="582"/>
      <c r="DMZ7" s="582"/>
      <c r="DNA7" s="582"/>
      <c r="DNB7" s="582"/>
      <c r="DNC7" s="582"/>
      <c r="DND7" s="582"/>
      <c r="DNE7" s="582"/>
      <c r="DNF7" s="582"/>
      <c r="DNG7" s="582"/>
      <c r="DNH7" s="582"/>
      <c r="DNI7" s="582"/>
      <c r="DNJ7" s="582"/>
      <c r="DNK7" s="582"/>
      <c r="DNL7" s="582"/>
      <c r="DNM7" s="582"/>
      <c r="DNN7" s="582"/>
      <c r="DNO7" s="582"/>
      <c r="DNP7" s="582"/>
      <c r="DNQ7" s="582"/>
      <c r="DNR7" s="582"/>
      <c r="DNS7" s="582"/>
      <c r="DNT7" s="582"/>
      <c r="DNU7" s="582"/>
      <c r="DNV7" s="582"/>
      <c r="DNW7" s="582"/>
      <c r="DNX7" s="582"/>
      <c r="DNY7" s="582"/>
      <c r="DNZ7" s="582"/>
      <c r="DOA7" s="582"/>
      <c r="DOB7" s="582"/>
      <c r="DOC7" s="582"/>
      <c r="DOD7" s="582"/>
      <c r="DOE7" s="582"/>
      <c r="DOF7" s="582"/>
      <c r="DOG7" s="582"/>
      <c r="DOH7" s="582"/>
      <c r="DOI7" s="582"/>
      <c r="DOJ7" s="582"/>
      <c r="DOK7" s="582"/>
      <c r="DOL7" s="582"/>
      <c r="DOM7" s="582"/>
      <c r="DON7" s="582"/>
      <c r="DOO7" s="582"/>
      <c r="DOP7" s="582"/>
      <c r="DOQ7" s="582"/>
      <c r="DOR7" s="582"/>
      <c r="DOS7" s="582"/>
      <c r="DOT7" s="582"/>
      <c r="DOU7" s="582"/>
      <c r="DOV7" s="582"/>
      <c r="DOW7" s="582"/>
      <c r="DOX7" s="582"/>
      <c r="DOY7" s="582"/>
      <c r="DOZ7" s="582"/>
      <c r="DPA7" s="582"/>
      <c r="DPB7" s="582"/>
      <c r="DPC7" s="582"/>
      <c r="DPD7" s="582"/>
      <c r="DPE7" s="582"/>
      <c r="DPF7" s="582"/>
      <c r="DPG7" s="582"/>
      <c r="DPH7" s="582"/>
      <c r="DPI7" s="582"/>
      <c r="DPJ7" s="582"/>
      <c r="DPK7" s="582"/>
      <c r="DPL7" s="582"/>
      <c r="DPM7" s="582"/>
      <c r="DPN7" s="582"/>
      <c r="DPO7" s="582"/>
      <c r="DPP7" s="582"/>
      <c r="DPQ7" s="582"/>
      <c r="DPR7" s="582"/>
      <c r="DPS7" s="582"/>
      <c r="DPT7" s="582"/>
      <c r="DPU7" s="582"/>
      <c r="DPV7" s="582"/>
      <c r="DPW7" s="582"/>
      <c r="DPX7" s="582"/>
      <c r="DPY7" s="582"/>
      <c r="DPZ7" s="582"/>
      <c r="DQA7" s="582"/>
      <c r="DQB7" s="582"/>
      <c r="DQC7" s="582"/>
      <c r="DQD7" s="582"/>
      <c r="DQE7" s="582"/>
      <c r="DQF7" s="582"/>
      <c r="DQG7" s="582"/>
      <c r="DQH7" s="582"/>
      <c r="DQI7" s="582"/>
      <c r="DQJ7" s="582"/>
      <c r="DQK7" s="582"/>
      <c r="DQL7" s="582"/>
      <c r="DQM7" s="582"/>
      <c r="DQN7" s="582"/>
      <c r="DQO7" s="582"/>
      <c r="DQP7" s="582"/>
      <c r="DQQ7" s="582"/>
      <c r="DQR7" s="582"/>
      <c r="DQS7" s="582"/>
      <c r="DQT7" s="582"/>
      <c r="DQU7" s="582"/>
      <c r="DQV7" s="582"/>
      <c r="DQW7" s="582"/>
      <c r="DQX7" s="582"/>
      <c r="DQY7" s="582"/>
      <c r="DQZ7" s="582"/>
      <c r="DRA7" s="582"/>
      <c r="DRB7" s="582"/>
      <c r="DRC7" s="582"/>
      <c r="DRD7" s="582"/>
      <c r="DRE7" s="582"/>
      <c r="DRF7" s="582"/>
      <c r="DRG7" s="582"/>
      <c r="DRH7" s="582"/>
      <c r="DRI7" s="582"/>
      <c r="DRJ7" s="582"/>
      <c r="DRK7" s="582"/>
      <c r="DRL7" s="582"/>
      <c r="DRM7" s="582"/>
      <c r="DRN7" s="582"/>
      <c r="DRO7" s="582"/>
      <c r="DRP7" s="582"/>
      <c r="DRQ7" s="582"/>
      <c r="DRR7" s="582"/>
      <c r="DRS7" s="582"/>
      <c r="DRT7" s="582"/>
      <c r="DRU7" s="582"/>
      <c r="DRV7" s="582"/>
      <c r="DRW7" s="582"/>
      <c r="DRX7" s="582"/>
      <c r="DRY7" s="582"/>
      <c r="DRZ7" s="582"/>
      <c r="DSA7" s="582"/>
      <c r="DSB7" s="582"/>
      <c r="DSC7" s="582"/>
      <c r="DSD7" s="582"/>
      <c r="DSE7" s="582"/>
      <c r="DSF7" s="582"/>
      <c r="DSG7" s="582"/>
      <c r="DSH7" s="582"/>
      <c r="DSI7" s="582"/>
      <c r="DSJ7" s="582"/>
      <c r="DSK7" s="582"/>
      <c r="DSL7" s="582"/>
      <c r="DSM7" s="582"/>
      <c r="DSN7" s="582"/>
      <c r="DSO7" s="582"/>
      <c r="DSP7" s="582"/>
      <c r="DSQ7" s="582"/>
      <c r="DSR7" s="582"/>
      <c r="DSS7" s="582"/>
      <c r="DST7" s="582"/>
      <c r="DSU7" s="582"/>
      <c r="DSV7" s="582"/>
      <c r="DSW7" s="582"/>
      <c r="DSX7" s="582"/>
      <c r="DSY7" s="582"/>
      <c r="DSZ7" s="582"/>
      <c r="DTA7" s="582"/>
      <c r="DTB7" s="582"/>
      <c r="DTC7" s="582"/>
      <c r="DTD7" s="582"/>
      <c r="DTE7" s="582"/>
      <c r="DTF7" s="582"/>
      <c r="DTG7" s="582"/>
      <c r="DTH7" s="582"/>
      <c r="DTI7" s="582"/>
      <c r="DTJ7" s="582"/>
      <c r="DTK7" s="582"/>
      <c r="DTL7" s="582"/>
      <c r="DTM7" s="582"/>
      <c r="DTN7" s="582"/>
      <c r="DTO7" s="582"/>
      <c r="DTP7" s="582"/>
      <c r="DTQ7" s="582"/>
      <c r="DTR7" s="582"/>
      <c r="DTS7" s="582"/>
      <c r="DTT7" s="582"/>
      <c r="DTU7" s="582"/>
      <c r="DTV7" s="582"/>
      <c r="DTW7" s="582"/>
      <c r="DTX7" s="582"/>
      <c r="DTY7" s="582"/>
      <c r="DTZ7" s="582"/>
      <c r="DUA7" s="582"/>
      <c r="DUB7" s="582"/>
      <c r="DUC7" s="582"/>
      <c r="DUD7" s="582"/>
      <c r="DUE7" s="582"/>
      <c r="DUF7" s="582"/>
      <c r="DUG7" s="582"/>
      <c r="DUH7" s="582"/>
      <c r="DUI7" s="582"/>
      <c r="DUJ7" s="582"/>
      <c r="DUK7" s="582"/>
      <c r="DUL7" s="582"/>
      <c r="DUM7" s="582"/>
      <c r="DUN7" s="582"/>
      <c r="DUO7" s="582"/>
      <c r="DUP7" s="582"/>
      <c r="DUQ7" s="582"/>
      <c r="DUR7" s="582"/>
      <c r="DUS7" s="582"/>
      <c r="DUT7" s="582"/>
      <c r="DUU7" s="582"/>
      <c r="DUV7" s="582"/>
      <c r="DUW7" s="582"/>
      <c r="DUX7" s="582"/>
      <c r="DUY7" s="582"/>
      <c r="DUZ7" s="582"/>
      <c r="DVA7" s="582"/>
      <c r="DVB7" s="582"/>
      <c r="DVC7" s="582"/>
      <c r="DVD7" s="582"/>
      <c r="DVE7" s="582"/>
      <c r="DVF7" s="582"/>
      <c r="DVG7" s="582"/>
      <c r="DVH7" s="582"/>
      <c r="DVI7" s="582"/>
      <c r="DVJ7" s="582"/>
      <c r="DVK7" s="582"/>
      <c r="DVL7" s="582"/>
      <c r="DVM7" s="582"/>
      <c r="DVN7" s="582"/>
      <c r="DVO7" s="582"/>
      <c r="DVP7" s="582"/>
      <c r="DVQ7" s="582"/>
      <c r="DVR7" s="582"/>
      <c r="DVS7" s="582"/>
      <c r="DVT7" s="582"/>
      <c r="DVU7" s="582"/>
      <c r="DVV7" s="582"/>
      <c r="DVW7" s="582"/>
      <c r="DVX7" s="582"/>
      <c r="DVY7" s="582"/>
      <c r="DVZ7" s="582"/>
      <c r="DWA7" s="582"/>
      <c r="DWB7" s="582"/>
      <c r="DWC7" s="582"/>
      <c r="DWD7" s="582"/>
      <c r="DWE7" s="582"/>
      <c r="DWF7" s="582"/>
      <c r="DWG7" s="582"/>
      <c r="DWH7" s="582"/>
      <c r="DWI7" s="582"/>
      <c r="DWJ7" s="582"/>
      <c r="DWK7" s="582"/>
      <c r="DWL7" s="582"/>
      <c r="DWM7" s="582"/>
      <c r="DWN7" s="582"/>
      <c r="DWO7" s="582"/>
      <c r="DWP7" s="582"/>
      <c r="DWQ7" s="582"/>
      <c r="DWR7" s="582"/>
      <c r="DWS7" s="582"/>
      <c r="DWT7" s="582"/>
      <c r="DWU7" s="582"/>
      <c r="DWV7" s="582"/>
      <c r="DWW7" s="582"/>
      <c r="DWX7" s="582"/>
      <c r="DWY7" s="582"/>
      <c r="DWZ7" s="582"/>
      <c r="DXA7" s="582"/>
      <c r="DXB7" s="582"/>
      <c r="DXC7" s="582"/>
      <c r="DXD7" s="582"/>
      <c r="DXE7" s="582"/>
      <c r="DXF7" s="582"/>
      <c r="DXG7" s="582"/>
      <c r="DXH7" s="582"/>
      <c r="DXI7" s="582"/>
      <c r="DXJ7" s="582"/>
      <c r="DXK7" s="582"/>
      <c r="DXL7" s="582"/>
      <c r="DXM7" s="582"/>
      <c r="DXN7" s="582"/>
      <c r="DXO7" s="582"/>
      <c r="DXP7" s="582"/>
      <c r="DXQ7" s="582"/>
      <c r="DXR7" s="582"/>
      <c r="DXS7" s="582"/>
      <c r="DXT7" s="582"/>
      <c r="DXU7" s="582"/>
      <c r="DXV7" s="582"/>
      <c r="DXW7" s="582"/>
      <c r="DXX7" s="582"/>
      <c r="DXY7" s="582"/>
      <c r="DXZ7" s="582"/>
      <c r="DYA7" s="582"/>
      <c r="DYB7" s="582"/>
      <c r="DYC7" s="582"/>
      <c r="DYD7" s="582"/>
      <c r="DYE7" s="582"/>
      <c r="DYF7" s="582"/>
      <c r="DYG7" s="582"/>
      <c r="DYH7" s="582"/>
      <c r="DYI7" s="582"/>
      <c r="DYJ7" s="582"/>
      <c r="DYK7" s="582"/>
      <c r="DYL7" s="582"/>
      <c r="DYM7" s="582"/>
      <c r="DYN7" s="582"/>
      <c r="DYO7" s="582"/>
      <c r="DYP7" s="582"/>
      <c r="DYQ7" s="582"/>
      <c r="DYR7" s="582"/>
      <c r="DYS7" s="582"/>
      <c r="DYT7" s="582"/>
      <c r="DYU7" s="582"/>
      <c r="DYV7" s="582"/>
      <c r="DYW7" s="582"/>
      <c r="DYX7" s="582"/>
      <c r="DYY7" s="582"/>
      <c r="DYZ7" s="582"/>
      <c r="DZA7" s="582"/>
      <c r="DZB7" s="582"/>
      <c r="DZC7" s="582"/>
      <c r="DZD7" s="582"/>
      <c r="DZE7" s="582"/>
      <c r="DZF7" s="582"/>
      <c r="DZG7" s="582"/>
      <c r="DZH7" s="582"/>
      <c r="DZI7" s="582"/>
      <c r="DZJ7" s="582"/>
      <c r="DZK7" s="582"/>
      <c r="DZL7" s="582"/>
      <c r="DZM7" s="582"/>
      <c r="DZN7" s="582"/>
      <c r="DZO7" s="582"/>
      <c r="DZP7" s="582"/>
      <c r="DZQ7" s="582"/>
      <c r="DZR7" s="582"/>
      <c r="DZS7" s="582"/>
      <c r="DZT7" s="582"/>
      <c r="DZU7" s="582"/>
      <c r="DZV7" s="582"/>
      <c r="DZW7" s="582"/>
      <c r="DZX7" s="582"/>
      <c r="DZY7" s="582"/>
      <c r="DZZ7" s="582"/>
      <c r="EAA7" s="582"/>
      <c r="EAB7" s="582"/>
      <c r="EAC7" s="582"/>
      <c r="EAD7" s="582"/>
      <c r="EAE7" s="582"/>
      <c r="EAF7" s="582"/>
      <c r="EAG7" s="582"/>
      <c r="EAH7" s="582"/>
      <c r="EAI7" s="582"/>
      <c r="EAJ7" s="582"/>
      <c r="EAK7" s="582"/>
      <c r="EAL7" s="582"/>
      <c r="EAM7" s="582"/>
      <c r="EAN7" s="582"/>
      <c r="EAO7" s="582"/>
      <c r="EAP7" s="582"/>
      <c r="EAQ7" s="582"/>
      <c r="EAR7" s="582"/>
      <c r="EAS7" s="582"/>
      <c r="EAT7" s="582"/>
      <c r="EAU7" s="582"/>
      <c r="EAV7" s="582"/>
      <c r="EAW7" s="582"/>
      <c r="EAX7" s="582"/>
      <c r="EAY7" s="582"/>
      <c r="EAZ7" s="582"/>
      <c r="EBA7" s="582"/>
      <c r="EBB7" s="582"/>
      <c r="EBC7" s="582"/>
      <c r="EBD7" s="582"/>
      <c r="EBE7" s="582"/>
      <c r="EBF7" s="582"/>
      <c r="EBG7" s="582"/>
      <c r="EBH7" s="582"/>
      <c r="EBI7" s="582"/>
      <c r="EBJ7" s="582"/>
      <c r="EBK7" s="582"/>
      <c r="EBL7" s="582"/>
      <c r="EBM7" s="582"/>
      <c r="EBN7" s="582"/>
      <c r="EBO7" s="582"/>
      <c r="EBP7" s="582"/>
      <c r="EBQ7" s="582"/>
      <c r="EBR7" s="582"/>
      <c r="EBS7" s="582"/>
      <c r="EBT7" s="582"/>
      <c r="EBU7" s="582"/>
      <c r="EBV7" s="582"/>
      <c r="EBW7" s="582"/>
      <c r="EBX7" s="582"/>
      <c r="EBY7" s="582"/>
      <c r="EBZ7" s="582"/>
      <c r="ECA7" s="582"/>
      <c r="ECB7" s="582"/>
      <c r="ECC7" s="582"/>
      <c r="ECD7" s="582"/>
      <c r="ECE7" s="582"/>
      <c r="ECF7" s="582"/>
      <c r="ECG7" s="582"/>
      <c r="ECH7" s="582"/>
      <c r="ECI7" s="582"/>
      <c r="ECJ7" s="582"/>
      <c r="ECK7" s="582"/>
      <c r="ECL7" s="582"/>
      <c r="ECM7" s="582"/>
      <c r="ECN7" s="582"/>
      <c r="ECO7" s="582"/>
      <c r="ECP7" s="582"/>
      <c r="ECQ7" s="582"/>
      <c r="ECR7" s="582"/>
      <c r="ECS7" s="582"/>
      <c r="ECT7" s="582"/>
      <c r="ECU7" s="582"/>
      <c r="ECV7" s="582"/>
      <c r="ECW7" s="582"/>
      <c r="ECX7" s="582"/>
      <c r="ECY7" s="582"/>
      <c r="ECZ7" s="582"/>
      <c r="EDA7" s="582"/>
      <c r="EDB7" s="582"/>
      <c r="EDC7" s="582"/>
      <c r="EDD7" s="582"/>
      <c r="EDE7" s="582"/>
      <c r="EDF7" s="582"/>
      <c r="EDG7" s="582"/>
      <c r="EDH7" s="582"/>
      <c r="EDI7" s="582"/>
      <c r="EDJ7" s="582"/>
      <c r="EDK7" s="582"/>
      <c r="EDL7" s="582"/>
      <c r="EDM7" s="582"/>
      <c r="EDN7" s="582"/>
      <c r="EDO7" s="582"/>
      <c r="EDP7" s="582"/>
      <c r="EDQ7" s="582"/>
      <c r="EDR7" s="582"/>
      <c r="EDS7" s="582"/>
      <c r="EDT7" s="582"/>
      <c r="EDU7" s="582"/>
      <c r="EDV7" s="582"/>
      <c r="EDW7" s="582"/>
      <c r="EDX7" s="582"/>
      <c r="EDY7" s="582"/>
      <c r="EDZ7" s="582"/>
      <c r="EEA7" s="582"/>
      <c r="EEB7" s="582"/>
      <c r="EEC7" s="582"/>
      <c r="EED7" s="582"/>
      <c r="EEE7" s="582"/>
      <c r="EEF7" s="582"/>
      <c r="EEG7" s="582"/>
      <c r="EEH7" s="582"/>
      <c r="EEI7" s="582"/>
      <c r="EEJ7" s="582"/>
      <c r="EEK7" s="582"/>
      <c r="EEL7" s="582"/>
      <c r="EEM7" s="582"/>
      <c r="EEN7" s="582"/>
      <c r="EEO7" s="582"/>
      <c r="EEP7" s="582"/>
      <c r="EEQ7" s="582"/>
      <c r="EER7" s="582"/>
      <c r="EES7" s="582"/>
      <c r="EET7" s="582"/>
      <c r="EEU7" s="582"/>
      <c r="EEV7" s="582"/>
      <c r="EEW7" s="582"/>
      <c r="EEX7" s="582"/>
      <c r="EEY7" s="582"/>
      <c r="EEZ7" s="582"/>
      <c r="EFA7" s="582"/>
      <c r="EFB7" s="582"/>
      <c r="EFC7" s="582"/>
      <c r="EFD7" s="582"/>
      <c r="EFE7" s="582"/>
      <c r="EFF7" s="582"/>
      <c r="EFG7" s="582"/>
      <c r="EFH7" s="582"/>
      <c r="EFI7" s="582"/>
      <c r="EFJ7" s="582"/>
      <c r="EFK7" s="582"/>
      <c r="EFL7" s="582"/>
      <c r="EFM7" s="582"/>
      <c r="EFN7" s="582"/>
      <c r="EFO7" s="582"/>
      <c r="EFP7" s="582"/>
      <c r="EFQ7" s="582"/>
      <c r="EFR7" s="582"/>
      <c r="EFS7" s="582"/>
      <c r="EFT7" s="582"/>
      <c r="EFU7" s="582"/>
      <c r="EFV7" s="582"/>
      <c r="EFW7" s="582"/>
      <c r="EFX7" s="582"/>
      <c r="EFY7" s="582"/>
      <c r="EFZ7" s="582"/>
      <c r="EGA7" s="582"/>
      <c r="EGB7" s="582"/>
      <c r="EGC7" s="582"/>
      <c r="EGD7" s="582"/>
      <c r="EGE7" s="582"/>
      <c r="EGF7" s="582"/>
      <c r="EGG7" s="582"/>
      <c r="EGH7" s="582"/>
      <c r="EGI7" s="582"/>
      <c r="EGJ7" s="582"/>
      <c r="EGK7" s="582"/>
      <c r="EGL7" s="582"/>
      <c r="EGM7" s="582"/>
      <c r="EGN7" s="582"/>
      <c r="EGO7" s="582"/>
      <c r="EGP7" s="582"/>
      <c r="EGQ7" s="582"/>
      <c r="EGR7" s="582"/>
      <c r="EGS7" s="582"/>
      <c r="EGT7" s="582"/>
      <c r="EGU7" s="582"/>
      <c r="EGV7" s="582"/>
      <c r="EGW7" s="582"/>
      <c r="EGX7" s="582"/>
      <c r="EGY7" s="582"/>
      <c r="EGZ7" s="582"/>
      <c r="EHA7" s="582"/>
      <c r="EHB7" s="582"/>
      <c r="EHC7" s="582"/>
      <c r="EHD7" s="582"/>
      <c r="EHE7" s="582"/>
      <c r="EHF7" s="582"/>
      <c r="EHG7" s="582"/>
      <c r="EHH7" s="582"/>
      <c r="EHI7" s="582"/>
      <c r="EHJ7" s="582"/>
      <c r="EHK7" s="582"/>
      <c r="EHL7" s="582"/>
      <c r="EHM7" s="582"/>
      <c r="EHN7" s="582"/>
      <c r="EHO7" s="582"/>
      <c r="EHP7" s="582"/>
      <c r="EHQ7" s="582"/>
      <c r="EHR7" s="582"/>
      <c r="EHS7" s="582"/>
      <c r="EHT7" s="582"/>
      <c r="EHU7" s="582"/>
      <c r="EHV7" s="582"/>
      <c r="EHW7" s="582"/>
      <c r="EHX7" s="582"/>
      <c r="EHY7" s="582"/>
      <c r="EHZ7" s="582"/>
      <c r="EIA7" s="582"/>
      <c r="EIB7" s="582"/>
      <c r="EIC7" s="582"/>
      <c r="EID7" s="582"/>
      <c r="EIE7" s="582"/>
      <c r="EIF7" s="582"/>
      <c r="EIG7" s="582"/>
      <c r="EIH7" s="582"/>
      <c r="EII7" s="582"/>
      <c r="EIJ7" s="582"/>
      <c r="EIK7" s="582"/>
      <c r="EIL7" s="582"/>
      <c r="EIM7" s="582"/>
      <c r="EIN7" s="582"/>
      <c r="EIO7" s="582"/>
      <c r="EIP7" s="582"/>
      <c r="EIQ7" s="582"/>
      <c r="EIR7" s="582"/>
      <c r="EIS7" s="582"/>
      <c r="EIT7" s="582"/>
      <c r="EIU7" s="582"/>
      <c r="EIV7" s="582"/>
      <c r="EIW7" s="582"/>
      <c r="EIX7" s="582"/>
      <c r="EIY7" s="582"/>
      <c r="EIZ7" s="582"/>
      <c r="EJA7" s="582"/>
      <c r="EJB7" s="582"/>
      <c r="EJC7" s="582"/>
      <c r="EJD7" s="582"/>
      <c r="EJE7" s="582"/>
      <c r="EJF7" s="582"/>
      <c r="EJG7" s="582"/>
      <c r="EJH7" s="582"/>
      <c r="EJI7" s="582"/>
      <c r="EJJ7" s="582"/>
      <c r="EJK7" s="582"/>
      <c r="EJL7" s="582"/>
      <c r="EJM7" s="582"/>
      <c r="EJN7" s="582"/>
      <c r="EJO7" s="582"/>
      <c r="EJP7" s="582"/>
      <c r="EJQ7" s="582"/>
      <c r="EJR7" s="582"/>
      <c r="EJS7" s="582"/>
      <c r="EJT7" s="582"/>
      <c r="EJU7" s="582"/>
      <c r="EJV7" s="582"/>
      <c r="EJW7" s="582"/>
      <c r="EJX7" s="582"/>
      <c r="EJY7" s="582"/>
      <c r="EJZ7" s="582"/>
      <c r="EKA7" s="582"/>
      <c r="EKB7" s="582"/>
      <c r="EKC7" s="582"/>
      <c r="EKD7" s="582"/>
      <c r="EKE7" s="582"/>
      <c r="EKF7" s="582"/>
      <c r="EKG7" s="582"/>
      <c r="EKH7" s="582"/>
      <c r="EKI7" s="582"/>
      <c r="EKJ7" s="582"/>
      <c r="EKK7" s="582"/>
      <c r="EKL7" s="582"/>
      <c r="EKM7" s="582"/>
      <c r="EKN7" s="582"/>
      <c r="EKO7" s="582"/>
      <c r="EKP7" s="582"/>
      <c r="EKQ7" s="582"/>
      <c r="EKR7" s="582"/>
      <c r="EKS7" s="582"/>
      <c r="EKT7" s="582"/>
      <c r="EKU7" s="582"/>
      <c r="EKV7" s="582"/>
      <c r="EKW7" s="582"/>
      <c r="EKX7" s="582"/>
      <c r="EKY7" s="582"/>
      <c r="EKZ7" s="582"/>
      <c r="ELA7" s="582"/>
      <c r="ELB7" s="582"/>
      <c r="ELC7" s="582"/>
      <c r="ELD7" s="582"/>
      <c r="ELE7" s="582"/>
      <c r="ELF7" s="582"/>
      <c r="ELG7" s="582"/>
      <c r="ELH7" s="582"/>
      <c r="ELI7" s="582"/>
      <c r="ELJ7" s="582"/>
      <c r="ELK7" s="582"/>
      <c r="ELL7" s="582"/>
      <c r="ELM7" s="582"/>
      <c r="ELN7" s="582"/>
      <c r="ELO7" s="582"/>
      <c r="ELP7" s="582"/>
      <c r="ELQ7" s="582"/>
      <c r="ELR7" s="582"/>
      <c r="ELS7" s="582"/>
      <c r="ELT7" s="582"/>
      <c r="ELU7" s="582"/>
      <c r="ELV7" s="582"/>
      <c r="ELW7" s="582"/>
      <c r="ELX7" s="582"/>
      <c r="ELY7" s="582"/>
      <c r="ELZ7" s="582"/>
      <c r="EMA7" s="582"/>
      <c r="EMB7" s="582"/>
      <c r="EMC7" s="582"/>
      <c r="EMD7" s="582"/>
      <c r="EME7" s="582"/>
      <c r="EMF7" s="582"/>
      <c r="EMG7" s="582"/>
      <c r="EMH7" s="582"/>
      <c r="EMI7" s="582"/>
      <c r="EMJ7" s="582"/>
      <c r="EMK7" s="582"/>
      <c r="EML7" s="582"/>
      <c r="EMM7" s="582"/>
      <c r="EMN7" s="582"/>
      <c r="EMO7" s="582"/>
      <c r="EMP7" s="582"/>
      <c r="EMQ7" s="582"/>
      <c r="EMR7" s="582"/>
      <c r="EMS7" s="582"/>
      <c r="EMT7" s="582"/>
      <c r="EMU7" s="582"/>
      <c r="EMV7" s="582"/>
      <c r="EMW7" s="582"/>
      <c r="EMX7" s="582"/>
      <c r="EMY7" s="582"/>
      <c r="EMZ7" s="582"/>
      <c r="ENA7" s="582"/>
      <c r="ENB7" s="582"/>
      <c r="ENC7" s="582"/>
      <c r="END7" s="582"/>
      <c r="ENE7" s="582"/>
      <c r="ENF7" s="582"/>
      <c r="ENG7" s="582"/>
      <c r="ENH7" s="582"/>
      <c r="ENI7" s="582"/>
      <c r="ENJ7" s="582"/>
      <c r="ENK7" s="582"/>
      <c r="ENL7" s="582"/>
      <c r="ENM7" s="582"/>
      <c r="ENN7" s="582"/>
      <c r="ENO7" s="582"/>
      <c r="ENP7" s="582"/>
      <c r="ENQ7" s="582"/>
      <c r="ENR7" s="582"/>
      <c r="ENS7" s="582"/>
      <c r="ENT7" s="582"/>
      <c r="ENU7" s="582"/>
      <c r="ENV7" s="582"/>
      <c r="ENW7" s="582"/>
      <c r="ENX7" s="582"/>
      <c r="ENY7" s="582"/>
      <c r="ENZ7" s="582"/>
      <c r="EOA7" s="582"/>
      <c r="EOB7" s="582"/>
      <c r="EOC7" s="582"/>
      <c r="EOD7" s="582"/>
      <c r="EOE7" s="582"/>
      <c r="EOF7" s="582"/>
      <c r="EOG7" s="582"/>
      <c r="EOH7" s="582"/>
      <c r="EOI7" s="582"/>
      <c r="EOJ7" s="582"/>
      <c r="EOK7" s="582"/>
      <c r="EOL7" s="582"/>
      <c r="EOM7" s="582"/>
      <c r="EON7" s="582"/>
      <c r="EOO7" s="582"/>
      <c r="EOP7" s="582"/>
      <c r="EOQ7" s="582"/>
      <c r="EOR7" s="582"/>
      <c r="EOS7" s="582"/>
      <c r="EOT7" s="582"/>
      <c r="EOU7" s="582"/>
      <c r="EOV7" s="582"/>
      <c r="EOW7" s="582"/>
      <c r="EOX7" s="582"/>
      <c r="EOY7" s="582"/>
      <c r="EOZ7" s="582"/>
      <c r="EPA7" s="582"/>
      <c r="EPB7" s="582"/>
      <c r="EPC7" s="582"/>
      <c r="EPD7" s="582"/>
      <c r="EPE7" s="582"/>
      <c r="EPF7" s="582"/>
      <c r="EPG7" s="582"/>
      <c r="EPH7" s="582"/>
      <c r="EPI7" s="582"/>
      <c r="EPJ7" s="582"/>
      <c r="EPK7" s="582"/>
      <c r="EPL7" s="582"/>
      <c r="EPM7" s="582"/>
      <c r="EPN7" s="582"/>
      <c r="EPO7" s="582"/>
      <c r="EPP7" s="582"/>
      <c r="EPQ7" s="582"/>
      <c r="EPR7" s="582"/>
      <c r="EPS7" s="582"/>
      <c r="EPT7" s="582"/>
      <c r="EPU7" s="582"/>
      <c r="EPV7" s="582"/>
      <c r="EPW7" s="582"/>
      <c r="EPX7" s="582"/>
      <c r="EPY7" s="582"/>
      <c r="EPZ7" s="582"/>
      <c r="EQA7" s="582"/>
      <c r="EQB7" s="582"/>
      <c r="EQC7" s="582"/>
      <c r="EQD7" s="582"/>
      <c r="EQE7" s="582"/>
      <c r="EQF7" s="582"/>
      <c r="EQG7" s="582"/>
      <c r="EQH7" s="582"/>
      <c r="EQI7" s="582"/>
      <c r="EQJ7" s="582"/>
      <c r="EQK7" s="582"/>
      <c r="EQL7" s="582"/>
      <c r="EQM7" s="582"/>
      <c r="EQN7" s="582"/>
      <c r="EQO7" s="582"/>
      <c r="EQP7" s="582"/>
      <c r="EQQ7" s="582"/>
      <c r="EQR7" s="582"/>
      <c r="EQS7" s="582"/>
      <c r="EQT7" s="582"/>
      <c r="EQU7" s="582"/>
      <c r="EQV7" s="582"/>
      <c r="EQW7" s="582"/>
      <c r="EQX7" s="582"/>
      <c r="EQY7" s="582"/>
      <c r="EQZ7" s="582"/>
      <c r="ERA7" s="582"/>
      <c r="ERB7" s="582"/>
      <c r="ERC7" s="582"/>
      <c r="ERD7" s="582"/>
      <c r="ERE7" s="582"/>
      <c r="ERF7" s="582"/>
      <c r="ERG7" s="582"/>
      <c r="ERH7" s="582"/>
      <c r="ERI7" s="582"/>
      <c r="ERJ7" s="582"/>
      <c r="ERK7" s="582"/>
      <c r="ERL7" s="582"/>
      <c r="ERM7" s="582"/>
      <c r="ERN7" s="582"/>
      <c r="ERO7" s="582"/>
      <c r="ERP7" s="582"/>
      <c r="ERQ7" s="582"/>
      <c r="ERR7" s="582"/>
      <c r="ERS7" s="582"/>
      <c r="ERT7" s="582"/>
      <c r="ERU7" s="582"/>
      <c r="ERV7" s="582"/>
      <c r="ERW7" s="582"/>
      <c r="ERX7" s="582"/>
      <c r="ERY7" s="582"/>
      <c r="ERZ7" s="582"/>
      <c r="ESA7" s="582"/>
      <c r="ESB7" s="582"/>
      <c r="ESC7" s="582"/>
      <c r="ESD7" s="582"/>
      <c r="ESE7" s="582"/>
      <c r="ESF7" s="582"/>
      <c r="ESG7" s="582"/>
      <c r="ESH7" s="582"/>
      <c r="ESI7" s="582"/>
      <c r="ESJ7" s="582"/>
      <c r="ESK7" s="582"/>
      <c r="ESL7" s="582"/>
      <c r="ESM7" s="582"/>
      <c r="ESN7" s="582"/>
      <c r="ESO7" s="582"/>
      <c r="ESP7" s="582"/>
      <c r="ESQ7" s="582"/>
      <c r="ESR7" s="582"/>
      <c r="ESS7" s="582"/>
      <c r="EST7" s="582"/>
      <c r="ESU7" s="582"/>
      <c r="ESV7" s="582"/>
      <c r="ESW7" s="582"/>
      <c r="ESX7" s="582"/>
      <c r="ESY7" s="582"/>
      <c r="ESZ7" s="582"/>
      <c r="ETA7" s="582"/>
      <c r="ETB7" s="582"/>
      <c r="ETC7" s="582"/>
      <c r="ETD7" s="582"/>
      <c r="ETE7" s="582"/>
      <c r="ETF7" s="582"/>
      <c r="ETG7" s="582"/>
      <c r="ETH7" s="582"/>
      <c r="ETI7" s="582"/>
      <c r="ETJ7" s="582"/>
      <c r="ETK7" s="582"/>
      <c r="ETL7" s="582"/>
      <c r="ETM7" s="582"/>
      <c r="ETN7" s="582"/>
      <c r="ETO7" s="582"/>
      <c r="ETP7" s="582"/>
      <c r="ETQ7" s="582"/>
      <c r="ETR7" s="582"/>
      <c r="ETS7" s="582"/>
      <c r="ETT7" s="582"/>
      <c r="ETU7" s="582"/>
      <c r="ETV7" s="582"/>
      <c r="ETW7" s="582"/>
      <c r="ETX7" s="582"/>
      <c r="ETY7" s="582"/>
      <c r="ETZ7" s="582"/>
      <c r="EUA7" s="582"/>
      <c r="EUB7" s="582"/>
      <c r="EUC7" s="582"/>
      <c r="EUD7" s="582"/>
      <c r="EUE7" s="582"/>
      <c r="EUF7" s="582"/>
      <c r="EUG7" s="582"/>
      <c r="EUH7" s="582"/>
      <c r="EUI7" s="582"/>
      <c r="EUJ7" s="582"/>
      <c r="EUK7" s="582"/>
      <c r="EUL7" s="582"/>
      <c r="EUM7" s="582"/>
      <c r="EUN7" s="582"/>
      <c r="EUO7" s="582"/>
      <c r="EUP7" s="582"/>
      <c r="EUQ7" s="582"/>
      <c r="EUR7" s="582"/>
      <c r="EUS7" s="582"/>
      <c r="EUT7" s="582"/>
      <c r="EUU7" s="582"/>
      <c r="EUV7" s="582"/>
      <c r="EUW7" s="582"/>
      <c r="EUX7" s="582"/>
      <c r="EUY7" s="582"/>
      <c r="EUZ7" s="582"/>
      <c r="EVA7" s="582"/>
      <c r="EVB7" s="582"/>
      <c r="EVC7" s="582"/>
      <c r="EVD7" s="582"/>
      <c r="EVE7" s="582"/>
      <c r="EVF7" s="582"/>
      <c r="EVG7" s="582"/>
      <c r="EVH7" s="582"/>
      <c r="EVI7" s="582"/>
      <c r="EVJ7" s="582"/>
      <c r="EVK7" s="582"/>
      <c r="EVL7" s="582"/>
      <c r="EVM7" s="582"/>
      <c r="EVN7" s="582"/>
      <c r="EVO7" s="582"/>
      <c r="EVP7" s="582"/>
      <c r="EVQ7" s="582"/>
      <c r="EVR7" s="582"/>
      <c r="EVS7" s="582"/>
      <c r="EVT7" s="582"/>
      <c r="EVU7" s="582"/>
      <c r="EVV7" s="582"/>
      <c r="EVW7" s="582"/>
      <c r="EVX7" s="582"/>
      <c r="EVY7" s="582"/>
      <c r="EVZ7" s="582"/>
      <c r="EWA7" s="582"/>
      <c r="EWB7" s="582"/>
      <c r="EWC7" s="582"/>
      <c r="EWD7" s="582"/>
      <c r="EWE7" s="582"/>
      <c r="EWF7" s="582"/>
      <c r="EWG7" s="582"/>
      <c r="EWH7" s="582"/>
      <c r="EWI7" s="582"/>
      <c r="EWJ7" s="582"/>
      <c r="EWK7" s="582"/>
      <c r="EWL7" s="582"/>
      <c r="EWM7" s="582"/>
      <c r="EWN7" s="582"/>
      <c r="EWO7" s="582"/>
      <c r="EWP7" s="582"/>
      <c r="EWQ7" s="582"/>
      <c r="EWR7" s="582"/>
      <c r="EWS7" s="582"/>
      <c r="EWT7" s="582"/>
      <c r="EWU7" s="582"/>
      <c r="EWV7" s="582"/>
      <c r="EWW7" s="582"/>
      <c r="EWX7" s="582"/>
      <c r="EWY7" s="582"/>
      <c r="EWZ7" s="582"/>
      <c r="EXA7" s="582"/>
      <c r="EXB7" s="582"/>
      <c r="EXC7" s="582"/>
      <c r="EXD7" s="582"/>
      <c r="EXE7" s="582"/>
      <c r="EXF7" s="582"/>
      <c r="EXG7" s="582"/>
      <c r="EXH7" s="582"/>
      <c r="EXI7" s="582"/>
      <c r="EXJ7" s="582"/>
      <c r="EXK7" s="582"/>
      <c r="EXL7" s="582"/>
      <c r="EXM7" s="582"/>
      <c r="EXN7" s="582"/>
      <c r="EXO7" s="582"/>
      <c r="EXP7" s="582"/>
      <c r="EXQ7" s="582"/>
      <c r="EXR7" s="582"/>
      <c r="EXS7" s="582"/>
      <c r="EXT7" s="582"/>
      <c r="EXU7" s="582"/>
      <c r="EXV7" s="582"/>
      <c r="EXW7" s="582"/>
      <c r="EXX7" s="582"/>
      <c r="EXY7" s="582"/>
      <c r="EXZ7" s="582"/>
      <c r="EYA7" s="582"/>
      <c r="EYB7" s="582"/>
      <c r="EYC7" s="582"/>
      <c r="EYD7" s="582"/>
      <c r="EYE7" s="582"/>
      <c r="EYF7" s="582"/>
      <c r="EYG7" s="582"/>
      <c r="EYH7" s="582"/>
      <c r="EYI7" s="582"/>
      <c r="EYJ7" s="582"/>
      <c r="EYK7" s="582"/>
      <c r="EYL7" s="582"/>
      <c r="EYM7" s="582"/>
      <c r="EYN7" s="582"/>
      <c r="EYO7" s="582"/>
      <c r="EYP7" s="582"/>
      <c r="EYQ7" s="582"/>
      <c r="EYR7" s="582"/>
      <c r="EYS7" s="582"/>
      <c r="EYT7" s="582"/>
      <c r="EYU7" s="582"/>
      <c r="EYV7" s="582"/>
      <c r="EYW7" s="582"/>
      <c r="EYX7" s="582"/>
      <c r="EYY7" s="582"/>
      <c r="EYZ7" s="582"/>
      <c r="EZA7" s="582"/>
      <c r="EZB7" s="582"/>
      <c r="EZC7" s="582"/>
      <c r="EZD7" s="582"/>
      <c r="EZE7" s="582"/>
      <c r="EZF7" s="582"/>
      <c r="EZG7" s="582"/>
      <c r="EZH7" s="582"/>
      <c r="EZI7" s="582"/>
      <c r="EZJ7" s="582"/>
      <c r="EZK7" s="582"/>
      <c r="EZL7" s="582"/>
      <c r="EZM7" s="582"/>
      <c r="EZN7" s="582"/>
      <c r="EZO7" s="582"/>
      <c r="EZP7" s="582"/>
      <c r="EZQ7" s="582"/>
      <c r="EZR7" s="582"/>
      <c r="EZS7" s="582"/>
      <c r="EZT7" s="582"/>
      <c r="EZU7" s="582"/>
      <c r="EZV7" s="582"/>
      <c r="EZW7" s="582"/>
      <c r="EZX7" s="582"/>
      <c r="EZY7" s="582"/>
      <c r="EZZ7" s="582"/>
      <c r="FAA7" s="582"/>
      <c r="FAB7" s="582"/>
      <c r="FAC7" s="582"/>
      <c r="FAD7" s="582"/>
      <c r="FAE7" s="582"/>
      <c r="FAF7" s="582"/>
      <c r="FAG7" s="582"/>
      <c r="FAH7" s="582"/>
      <c r="FAI7" s="582"/>
      <c r="FAJ7" s="582"/>
      <c r="FAK7" s="582"/>
      <c r="FAL7" s="582"/>
      <c r="FAM7" s="582"/>
      <c r="FAN7" s="582"/>
      <c r="FAO7" s="582"/>
      <c r="FAP7" s="582"/>
      <c r="FAQ7" s="582"/>
      <c r="FAR7" s="582"/>
      <c r="FAS7" s="582"/>
      <c r="FAT7" s="582"/>
      <c r="FAU7" s="582"/>
      <c r="FAV7" s="582"/>
      <c r="FAW7" s="582"/>
      <c r="FAX7" s="582"/>
      <c r="FAY7" s="582"/>
      <c r="FAZ7" s="582"/>
      <c r="FBA7" s="582"/>
      <c r="FBB7" s="582"/>
      <c r="FBC7" s="582"/>
      <c r="FBD7" s="582"/>
      <c r="FBE7" s="582"/>
      <c r="FBF7" s="582"/>
      <c r="FBG7" s="582"/>
      <c r="FBH7" s="582"/>
      <c r="FBI7" s="582"/>
      <c r="FBJ7" s="582"/>
      <c r="FBK7" s="582"/>
      <c r="FBL7" s="582"/>
      <c r="FBM7" s="582"/>
      <c r="FBN7" s="582"/>
      <c r="FBO7" s="582"/>
      <c r="FBP7" s="582"/>
      <c r="FBQ7" s="582"/>
      <c r="FBR7" s="582"/>
      <c r="FBS7" s="582"/>
      <c r="FBT7" s="582"/>
      <c r="FBU7" s="582"/>
      <c r="FBV7" s="582"/>
      <c r="FBW7" s="582"/>
      <c r="FBX7" s="582"/>
      <c r="FBY7" s="582"/>
      <c r="FBZ7" s="582"/>
      <c r="FCA7" s="582"/>
      <c r="FCB7" s="582"/>
      <c r="FCC7" s="582"/>
      <c r="FCD7" s="582"/>
      <c r="FCE7" s="582"/>
      <c r="FCF7" s="582"/>
      <c r="FCG7" s="582"/>
      <c r="FCH7" s="582"/>
      <c r="FCI7" s="582"/>
      <c r="FCJ7" s="582"/>
      <c r="FCK7" s="582"/>
      <c r="FCL7" s="582"/>
      <c r="FCM7" s="582"/>
      <c r="FCN7" s="582"/>
      <c r="FCO7" s="582"/>
      <c r="FCP7" s="582"/>
      <c r="FCQ7" s="582"/>
      <c r="FCR7" s="582"/>
      <c r="FCS7" s="582"/>
      <c r="FCT7" s="582"/>
      <c r="FCU7" s="582"/>
      <c r="FCV7" s="582"/>
      <c r="FCW7" s="582"/>
      <c r="FCX7" s="582"/>
      <c r="FCY7" s="582"/>
      <c r="FCZ7" s="582"/>
      <c r="FDA7" s="582"/>
      <c r="FDB7" s="582"/>
      <c r="FDC7" s="582"/>
      <c r="FDD7" s="582"/>
      <c r="FDE7" s="582"/>
      <c r="FDF7" s="582"/>
      <c r="FDG7" s="582"/>
      <c r="FDH7" s="582"/>
      <c r="FDI7" s="582"/>
      <c r="FDJ7" s="582"/>
      <c r="FDK7" s="582"/>
      <c r="FDL7" s="582"/>
      <c r="FDM7" s="582"/>
      <c r="FDN7" s="582"/>
      <c r="FDO7" s="582"/>
      <c r="FDP7" s="582"/>
      <c r="FDQ7" s="582"/>
      <c r="FDR7" s="582"/>
      <c r="FDS7" s="582"/>
      <c r="FDT7" s="582"/>
      <c r="FDU7" s="582"/>
      <c r="FDV7" s="582"/>
      <c r="FDW7" s="582"/>
      <c r="FDX7" s="582"/>
      <c r="FDY7" s="582"/>
      <c r="FDZ7" s="582"/>
      <c r="FEA7" s="582"/>
      <c r="FEB7" s="582"/>
      <c r="FEC7" s="582"/>
      <c r="FED7" s="582"/>
      <c r="FEE7" s="582"/>
      <c r="FEF7" s="582"/>
      <c r="FEG7" s="582"/>
      <c r="FEH7" s="582"/>
      <c r="FEI7" s="582"/>
      <c r="FEJ7" s="582"/>
      <c r="FEK7" s="582"/>
      <c r="FEL7" s="582"/>
      <c r="FEM7" s="582"/>
      <c r="FEN7" s="582"/>
      <c r="FEO7" s="582"/>
      <c r="FEP7" s="582"/>
      <c r="FEQ7" s="582"/>
      <c r="FER7" s="582"/>
      <c r="FES7" s="582"/>
      <c r="FET7" s="582"/>
      <c r="FEU7" s="582"/>
      <c r="FEV7" s="582"/>
      <c r="FEW7" s="582"/>
      <c r="FEX7" s="582"/>
      <c r="FEY7" s="582"/>
      <c r="FEZ7" s="582"/>
      <c r="FFA7" s="582"/>
      <c r="FFB7" s="582"/>
      <c r="FFC7" s="582"/>
      <c r="FFD7" s="582"/>
      <c r="FFE7" s="582"/>
      <c r="FFF7" s="582"/>
      <c r="FFG7" s="582"/>
      <c r="FFH7" s="582"/>
      <c r="FFI7" s="582"/>
      <c r="FFJ7" s="582"/>
      <c r="FFK7" s="582"/>
      <c r="FFL7" s="582"/>
      <c r="FFM7" s="582"/>
      <c r="FFN7" s="582"/>
      <c r="FFO7" s="582"/>
      <c r="FFP7" s="582"/>
      <c r="FFQ7" s="582"/>
      <c r="FFR7" s="582"/>
      <c r="FFS7" s="582"/>
      <c r="FFT7" s="582"/>
      <c r="FFU7" s="582"/>
      <c r="FFV7" s="582"/>
      <c r="FFW7" s="582"/>
      <c r="FFX7" s="582"/>
      <c r="FFY7" s="582"/>
      <c r="FFZ7" s="582"/>
      <c r="FGA7" s="582"/>
      <c r="FGB7" s="582"/>
      <c r="FGC7" s="582"/>
      <c r="FGD7" s="582"/>
      <c r="FGE7" s="582"/>
      <c r="FGF7" s="582"/>
      <c r="FGG7" s="582"/>
      <c r="FGH7" s="582"/>
      <c r="FGI7" s="582"/>
      <c r="FGJ7" s="582"/>
      <c r="FGK7" s="582"/>
      <c r="FGL7" s="582"/>
      <c r="FGM7" s="582"/>
      <c r="FGN7" s="582"/>
      <c r="FGO7" s="582"/>
      <c r="FGP7" s="582"/>
      <c r="FGQ7" s="582"/>
      <c r="FGR7" s="582"/>
      <c r="FGS7" s="582"/>
      <c r="FGT7" s="582"/>
      <c r="FGU7" s="582"/>
      <c r="FGV7" s="582"/>
      <c r="FGW7" s="582"/>
      <c r="FGX7" s="582"/>
      <c r="FGY7" s="582"/>
      <c r="FGZ7" s="582"/>
      <c r="FHA7" s="582"/>
      <c r="FHB7" s="582"/>
      <c r="FHC7" s="582"/>
      <c r="FHD7" s="582"/>
      <c r="FHE7" s="582"/>
      <c r="FHF7" s="582"/>
      <c r="FHG7" s="582"/>
      <c r="FHH7" s="582"/>
      <c r="FHI7" s="582"/>
      <c r="FHJ7" s="582"/>
      <c r="FHK7" s="582"/>
      <c r="FHL7" s="582"/>
      <c r="FHM7" s="582"/>
      <c r="FHN7" s="582"/>
      <c r="FHO7" s="582"/>
      <c r="FHP7" s="582"/>
      <c r="FHQ7" s="582"/>
      <c r="FHR7" s="582"/>
      <c r="FHS7" s="582"/>
      <c r="FHT7" s="582"/>
      <c r="FHU7" s="582"/>
      <c r="FHV7" s="582"/>
      <c r="FHW7" s="582"/>
      <c r="FHX7" s="582"/>
      <c r="FHY7" s="582"/>
      <c r="FHZ7" s="582"/>
      <c r="FIA7" s="582"/>
      <c r="FIB7" s="582"/>
      <c r="FIC7" s="582"/>
      <c r="FID7" s="582"/>
      <c r="FIE7" s="582"/>
      <c r="FIF7" s="582"/>
      <c r="FIG7" s="582"/>
      <c r="FIH7" s="582"/>
      <c r="FII7" s="582"/>
      <c r="FIJ7" s="582"/>
      <c r="FIK7" s="582"/>
      <c r="FIL7" s="582"/>
      <c r="FIM7" s="582"/>
      <c r="FIN7" s="582"/>
      <c r="FIO7" s="582"/>
      <c r="FIP7" s="582"/>
      <c r="FIQ7" s="582"/>
      <c r="FIR7" s="582"/>
      <c r="FIS7" s="582"/>
      <c r="FIT7" s="582"/>
      <c r="FIU7" s="582"/>
      <c r="FIV7" s="582"/>
      <c r="FIW7" s="582"/>
      <c r="FIX7" s="582"/>
      <c r="FIY7" s="582"/>
      <c r="FIZ7" s="582"/>
      <c r="FJA7" s="582"/>
      <c r="FJB7" s="582"/>
      <c r="FJC7" s="582"/>
      <c r="FJD7" s="582"/>
      <c r="FJE7" s="582"/>
      <c r="FJF7" s="582"/>
      <c r="FJG7" s="582"/>
      <c r="FJH7" s="582"/>
      <c r="FJI7" s="582"/>
      <c r="FJJ7" s="582"/>
      <c r="FJK7" s="582"/>
      <c r="FJL7" s="582"/>
      <c r="FJM7" s="582"/>
      <c r="FJN7" s="582"/>
      <c r="FJO7" s="582"/>
      <c r="FJP7" s="582"/>
      <c r="FJQ7" s="582"/>
      <c r="FJR7" s="582"/>
      <c r="FJS7" s="582"/>
      <c r="FJT7" s="582"/>
      <c r="FJU7" s="582"/>
      <c r="FJV7" s="582"/>
      <c r="FJW7" s="582"/>
      <c r="FJX7" s="582"/>
      <c r="FJY7" s="582"/>
      <c r="FJZ7" s="582"/>
      <c r="FKA7" s="582"/>
      <c r="FKB7" s="582"/>
      <c r="FKC7" s="582"/>
      <c r="FKD7" s="582"/>
      <c r="FKE7" s="582"/>
      <c r="FKF7" s="582"/>
      <c r="FKG7" s="582"/>
      <c r="FKH7" s="582"/>
      <c r="FKI7" s="582"/>
      <c r="FKJ7" s="582"/>
      <c r="FKK7" s="582"/>
      <c r="FKL7" s="582"/>
      <c r="FKM7" s="582"/>
      <c r="FKN7" s="582"/>
      <c r="FKO7" s="582"/>
      <c r="FKP7" s="582"/>
      <c r="FKQ7" s="582"/>
      <c r="FKR7" s="582"/>
      <c r="FKS7" s="582"/>
      <c r="FKT7" s="582"/>
      <c r="FKU7" s="582"/>
      <c r="FKV7" s="582"/>
      <c r="FKW7" s="582"/>
      <c r="FKX7" s="582"/>
      <c r="FKY7" s="582"/>
      <c r="FKZ7" s="582"/>
      <c r="FLA7" s="582"/>
      <c r="FLB7" s="582"/>
      <c r="FLC7" s="582"/>
      <c r="FLD7" s="582"/>
      <c r="FLE7" s="582"/>
      <c r="FLF7" s="582"/>
      <c r="FLG7" s="582"/>
      <c r="FLH7" s="582"/>
      <c r="FLI7" s="582"/>
      <c r="FLJ7" s="582"/>
      <c r="FLK7" s="582"/>
      <c r="FLL7" s="582"/>
      <c r="FLM7" s="582"/>
      <c r="FLN7" s="582"/>
      <c r="FLO7" s="582"/>
      <c r="FLP7" s="582"/>
      <c r="FLQ7" s="582"/>
      <c r="FLR7" s="582"/>
      <c r="FLS7" s="582"/>
      <c r="FLT7" s="582"/>
      <c r="FLU7" s="582"/>
      <c r="FLV7" s="582"/>
      <c r="FLW7" s="582"/>
      <c r="FLX7" s="582"/>
      <c r="FLY7" s="582"/>
      <c r="FLZ7" s="582"/>
      <c r="FMA7" s="582"/>
      <c r="FMB7" s="582"/>
      <c r="FMC7" s="582"/>
      <c r="FMD7" s="582"/>
      <c r="FME7" s="582"/>
      <c r="FMF7" s="582"/>
      <c r="FMG7" s="582"/>
      <c r="FMH7" s="582"/>
      <c r="FMI7" s="582"/>
      <c r="FMJ7" s="582"/>
      <c r="FMK7" s="582"/>
      <c r="FML7" s="582"/>
      <c r="FMM7" s="582"/>
      <c r="FMN7" s="582"/>
      <c r="FMO7" s="582"/>
      <c r="FMP7" s="582"/>
      <c r="FMQ7" s="582"/>
      <c r="FMR7" s="582"/>
      <c r="FMS7" s="582"/>
      <c r="FMT7" s="582"/>
      <c r="FMU7" s="582"/>
      <c r="FMV7" s="582"/>
      <c r="FMW7" s="582"/>
      <c r="FMX7" s="582"/>
      <c r="FMY7" s="582"/>
      <c r="FMZ7" s="582"/>
      <c r="FNA7" s="582"/>
      <c r="FNB7" s="582"/>
      <c r="FNC7" s="582"/>
      <c r="FND7" s="582"/>
      <c r="FNE7" s="582"/>
      <c r="FNF7" s="582"/>
      <c r="FNG7" s="582"/>
      <c r="FNH7" s="582"/>
      <c r="FNI7" s="582"/>
      <c r="FNJ7" s="582"/>
      <c r="FNK7" s="582"/>
      <c r="FNL7" s="582"/>
      <c r="FNM7" s="582"/>
      <c r="FNN7" s="582"/>
      <c r="FNO7" s="582"/>
      <c r="FNP7" s="582"/>
      <c r="FNQ7" s="582"/>
      <c r="FNR7" s="582"/>
      <c r="FNS7" s="582"/>
      <c r="FNT7" s="582"/>
      <c r="FNU7" s="582"/>
      <c r="FNV7" s="582"/>
      <c r="FNW7" s="582"/>
      <c r="FNX7" s="582"/>
      <c r="FNY7" s="582"/>
      <c r="FNZ7" s="582"/>
      <c r="FOA7" s="582"/>
      <c r="FOB7" s="582"/>
      <c r="FOC7" s="582"/>
      <c r="FOD7" s="582"/>
      <c r="FOE7" s="582"/>
      <c r="FOF7" s="582"/>
      <c r="FOG7" s="582"/>
      <c r="FOH7" s="582"/>
      <c r="FOI7" s="582"/>
      <c r="FOJ7" s="582"/>
      <c r="FOK7" s="582"/>
      <c r="FOL7" s="582"/>
      <c r="FOM7" s="582"/>
      <c r="FON7" s="582"/>
      <c r="FOO7" s="582"/>
      <c r="FOP7" s="582"/>
      <c r="FOQ7" s="582"/>
      <c r="FOR7" s="582"/>
      <c r="FOS7" s="582"/>
      <c r="FOT7" s="582"/>
      <c r="FOU7" s="582"/>
      <c r="FOV7" s="582"/>
      <c r="FOW7" s="582"/>
      <c r="FOX7" s="582"/>
      <c r="FOY7" s="582"/>
      <c r="FOZ7" s="582"/>
      <c r="FPA7" s="582"/>
      <c r="FPB7" s="582"/>
      <c r="FPC7" s="582"/>
      <c r="FPD7" s="582"/>
      <c r="FPE7" s="582"/>
      <c r="FPF7" s="582"/>
      <c r="FPG7" s="582"/>
      <c r="FPH7" s="582"/>
      <c r="FPI7" s="582"/>
      <c r="FPJ7" s="582"/>
      <c r="FPK7" s="582"/>
      <c r="FPL7" s="582"/>
      <c r="FPM7" s="582"/>
      <c r="FPN7" s="582"/>
      <c r="FPO7" s="582"/>
      <c r="FPP7" s="582"/>
      <c r="FPQ7" s="582"/>
      <c r="FPR7" s="582"/>
      <c r="FPS7" s="582"/>
      <c r="FPT7" s="582"/>
      <c r="FPU7" s="582"/>
      <c r="FPV7" s="582"/>
      <c r="FPW7" s="582"/>
      <c r="FPX7" s="582"/>
      <c r="FPY7" s="582"/>
      <c r="FPZ7" s="582"/>
      <c r="FQA7" s="582"/>
      <c r="FQB7" s="582"/>
      <c r="FQC7" s="582"/>
      <c r="FQD7" s="582"/>
      <c r="FQE7" s="582"/>
      <c r="FQF7" s="582"/>
      <c r="FQG7" s="582"/>
      <c r="FQH7" s="582"/>
      <c r="FQI7" s="582"/>
      <c r="FQJ7" s="582"/>
      <c r="FQK7" s="582"/>
      <c r="FQL7" s="582"/>
      <c r="FQM7" s="582"/>
      <c r="FQN7" s="582"/>
      <c r="FQO7" s="582"/>
      <c r="FQP7" s="582"/>
      <c r="FQQ7" s="582"/>
      <c r="FQR7" s="582"/>
      <c r="FQS7" s="582"/>
      <c r="FQT7" s="582"/>
      <c r="FQU7" s="582"/>
      <c r="FQV7" s="582"/>
      <c r="FQW7" s="582"/>
      <c r="FQX7" s="582"/>
      <c r="FQY7" s="582"/>
      <c r="FQZ7" s="582"/>
      <c r="FRA7" s="582"/>
      <c r="FRB7" s="582"/>
      <c r="FRC7" s="582"/>
      <c r="FRD7" s="582"/>
      <c r="FRE7" s="582"/>
      <c r="FRF7" s="582"/>
      <c r="FRG7" s="582"/>
      <c r="FRH7" s="582"/>
      <c r="FRI7" s="582"/>
      <c r="FRJ7" s="582"/>
      <c r="FRK7" s="582"/>
      <c r="FRL7" s="582"/>
      <c r="FRM7" s="582"/>
      <c r="FRN7" s="582"/>
      <c r="FRO7" s="582"/>
      <c r="FRP7" s="582"/>
      <c r="FRQ7" s="582"/>
      <c r="FRR7" s="582"/>
      <c r="FRS7" s="582"/>
      <c r="FRT7" s="582"/>
      <c r="FRU7" s="582"/>
      <c r="FRV7" s="582"/>
      <c r="FRW7" s="582"/>
      <c r="FRX7" s="582"/>
      <c r="FRY7" s="582"/>
      <c r="FRZ7" s="582"/>
      <c r="FSA7" s="582"/>
      <c r="FSB7" s="582"/>
      <c r="FSC7" s="582"/>
      <c r="FSD7" s="582"/>
      <c r="FSE7" s="582"/>
      <c r="FSF7" s="582"/>
      <c r="FSG7" s="582"/>
      <c r="FSH7" s="582"/>
      <c r="FSI7" s="582"/>
      <c r="FSJ7" s="582"/>
      <c r="FSK7" s="582"/>
      <c r="FSL7" s="582"/>
      <c r="FSM7" s="582"/>
      <c r="FSN7" s="582"/>
      <c r="FSO7" s="582"/>
      <c r="FSP7" s="582"/>
      <c r="FSQ7" s="582"/>
      <c r="FSR7" s="582"/>
      <c r="FSS7" s="582"/>
      <c r="FST7" s="582"/>
      <c r="FSU7" s="582"/>
      <c r="FSV7" s="582"/>
      <c r="FSW7" s="582"/>
      <c r="FSX7" s="582"/>
      <c r="FSY7" s="582"/>
      <c r="FSZ7" s="582"/>
      <c r="FTA7" s="582"/>
      <c r="FTB7" s="582"/>
      <c r="FTC7" s="582"/>
      <c r="FTD7" s="582"/>
      <c r="FTE7" s="582"/>
      <c r="FTF7" s="582"/>
      <c r="FTG7" s="582"/>
      <c r="FTH7" s="582"/>
      <c r="FTI7" s="582"/>
      <c r="FTJ7" s="582"/>
      <c r="FTK7" s="582"/>
      <c r="FTL7" s="582"/>
      <c r="FTM7" s="582"/>
      <c r="FTN7" s="582"/>
      <c r="FTO7" s="582"/>
      <c r="FTP7" s="582"/>
      <c r="FTQ7" s="582"/>
      <c r="FTR7" s="582"/>
      <c r="FTS7" s="582"/>
      <c r="FTT7" s="582"/>
      <c r="FTU7" s="582"/>
      <c r="FTV7" s="582"/>
      <c r="FTW7" s="582"/>
      <c r="FTX7" s="582"/>
      <c r="FTY7" s="582"/>
      <c r="FTZ7" s="582"/>
      <c r="FUA7" s="582"/>
      <c r="FUB7" s="582"/>
      <c r="FUC7" s="582"/>
      <c r="FUD7" s="582"/>
      <c r="FUE7" s="582"/>
      <c r="FUF7" s="582"/>
      <c r="FUG7" s="582"/>
      <c r="FUH7" s="582"/>
      <c r="FUI7" s="582"/>
      <c r="FUJ7" s="582"/>
      <c r="FUK7" s="582"/>
      <c r="FUL7" s="582"/>
      <c r="FUM7" s="582"/>
      <c r="FUN7" s="582"/>
      <c r="FUO7" s="582"/>
      <c r="FUP7" s="582"/>
      <c r="FUQ7" s="582"/>
      <c r="FUR7" s="582"/>
      <c r="FUS7" s="582"/>
      <c r="FUT7" s="582"/>
      <c r="FUU7" s="582"/>
      <c r="FUV7" s="582"/>
      <c r="FUW7" s="582"/>
      <c r="FUX7" s="582"/>
      <c r="FUY7" s="582"/>
      <c r="FUZ7" s="582"/>
      <c r="FVA7" s="582"/>
      <c r="FVB7" s="582"/>
      <c r="FVC7" s="582"/>
      <c r="FVD7" s="582"/>
      <c r="FVE7" s="582"/>
      <c r="FVF7" s="582"/>
      <c r="FVG7" s="582"/>
      <c r="FVH7" s="582"/>
      <c r="FVI7" s="582"/>
      <c r="FVJ7" s="582"/>
      <c r="FVK7" s="582"/>
      <c r="FVL7" s="582"/>
      <c r="FVM7" s="582"/>
      <c r="FVN7" s="582"/>
      <c r="FVO7" s="582"/>
      <c r="FVP7" s="582"/>
      <c r="FVQ7" s="582"/>
      <c r="FVR7" s="582"/>
      <c r="FVS7" s="582"/>
      <c r="FVT7" s="582"/>
      <c r="FVU7" s="582"/>
      <c r="FVV7" s="582"/>
      <c r="FVW7" s="582"/>
      <c r="FVX7" s="582"/>
      <c r="FVY7" s="582"/>
      <c r="FVZ7" s="582"/>
      <c r="FWA7" s="582"/>
      <c r="FWB7" s="582"/>
      <c r="FWC7" s="582"/>
      <c r="FWD7" s="582"/>
      <c r="FWE7" s="582"/>
      <c r="FWF7" s="582"/>
      <c r="FWG7" s="582"/>
      <c r="FWH7" s="582"/>
      <c r="FWI7" s="582"/>
      <c r="FWJ7" s="582"/>
      <c r="FWK7" s="582"/>
      <c r="FWL7" s="582"/>
      <c r="FWM7" s="582"/>
      <c r="FWN7" s="582"/>
      <c r="FWO7" s="582"/>
      <c r="FWP7" s="582"/>
      <c r="FWQ7" s="582"/>
      <c r="FWR7" s="582"/>
      <c r="FWS7" s="582"/>
      <c r="FWT7" s="582"/>
      <c r="FWU7" s="582"/>
      <c r="FWV7" s="582"/>
      <c r="FWW7" s="582"/>
      <c r="FWX7" s="582"/>
      <c r="FWY7" s="582"/>
      <c r="FWZ7" s="582"/>
      <c r="FXA7" s="582"/>
      <c r="FXB7" s="582"/>
      <c r="FXC7" s="582"/>
      <c r="FXD7" s="582"/>
      <c r="FXE7" s="582"/>
      <c r="FXF7" s="582"/>
      <c r="FXG7" s="582"/>
      <c r="FXH7" s="582"/>
      <c r="FXI7" s="582"/>
      <c r="FXJ7" s="582"/>
      <c r="FXK7" s="582"/>
      <c r="FXL7" s="582"/>
      <c r="FXM7" s="582"/>
      <c r="FXN7" s="582"/>
      <c r="FXO7" s="582"/>
      <c r="FXP7" s="582"/>
      <c r="FXQ7" s="582"/>
      <c r="FXR7" s="582"/>
      <c r="FXS7" s="582"/>
      <c r="FXT7" s="582"/>
      <c r="FXU7" s="582"/>
      <c r="FXV7" s="582"/>
      <c r="FXW7" s="582"/>
      <c r="FXX7" s="582"/>
      <c r="FXY7" s="582"/>
      <c r="FXZ7" s="582"/>
      <c r="FYA7" s="582"/>
      <c r="FYB7" s="582"/>
      <c r="FYC7" s="582"/>
      <c r="FYD7" s="582"/>
      <c r="FYE7" s="582"/>
      <c r="FYF7" s="582"/>
      <c r="FYG7" s="582"/>
      <c r="FYH7" s="582"/>
      <c r="FYI7" s="582"/>
      <c r="FYJ7" s="582"/>
      <c r="FYK7" s="582"/>
      <c r="FYL7" s="582"/>
      <c r="FYM7" s="582"/>
      <c r="FYN7" s="582"/>
      <c r="FYO7" s="582"/>
      <c r="FYP7" s="582"/>
      <c r="FYQ7" s="582"/>
      <c r="FYR7" s="582"/>
      <c r="FYS7" s="582"/>
      <c r="FYT7" s="582"/>
      <c r="FYU7" s="582"/>
      <c r="FYV7" s="582"/>
      <c r="FYW7" s="582"/>
      <c r="FYX7" s="582"/>
      <c r="FYY7" s="582"/>
      <c r="FYZ7" s="582"/>
      <c r="FZA7" s="582"/>
      <c r="FZB7" s="582"/>
      <c r="FZC7" s="582"/>
      <c r="FZD7" s="582"/>
      <c r="FZE7" s="582"/>
      <c r="FZF7" s="582"/>
      <c r="FZG7" s="582"/>
      <c r="FZH7" s="582"/>
      <c r="FZI7" s="582"/>
      <c r="FZJ7" s="582"/>
      <c r="FZK7" s="582"/>
      <c r="FZL7" s="582"/>
      <c r="FZM7" s="582"/>
      <c r="FZN7" s="582"/>
      <c r="FZO7" s="582"/>
      <c r="FZP7" s="582"/>
      <c r="FZQ7" s="582"/>
      <c r="FZR7" s="582"/>
      <c r="FZS7" s="582"/>
      <c r="FZT7" s="582"/>
      <c r="FZU7" s="582"/>
      <c r="FZV7" s="582"/>
      <c r="FZW7" s="582"/>
      <c r="FZX7" s="582"/>
      <c r="FZY7" s="582"/>
      <c r="FZZ7" s="582"/>
      <c r="GAA7" s="582"/>
      <c r="GAB7" s="582"/>
      <c r="GAC7" s="582"/>
      <c r="GAD7" s="582"/>
      <c r="GAE7" s="582"/>
      <c r="GAF7" s="582"/>
      <c r="GAG7" s="582"/>
      <c r="GAH7" s="582"/>
      <c r="GAI7" s="582"/>
      <c r="GAJ7" s="582"/>
      <c r="GAK7" s="582"/>
      <c r="GAL7" s="582"/>
      <c r="GAM7" s="582"/>
      <c r="GAN7" s="582"/>
      <c r="GAO7" s="582"/>
      <c r="GAP7" s="582"/>
      <c r="GAQ7" s="582"/>
      <c r="GAR7" s="582"/>
      <c r="GAS7" s="582"/>
      <c r="GAT7" s="582"/>
      <c r="GAU7" s="582"/>
      <c r="GAV7" s="582"/>
      <c r="GAW7" s="582"/>
      <c r="GAX7" s="582"/>
      <c r="GAY7" s="582"/>
      <c r="GAZ7" s="582"/>
      <c r="GBA7" s="582"/>
      <c r="GBB7" s="582"/>
      <c r="GBC7" s="582"/>
      <c r="GBD7" s="582"/>
      <c r="GBE7" s="582"/>
      <c r="GBF7" s="582"/>
      <c r="GBG7" s="582"/>
      <c r="GBH7" s="582"/>
      <c r="GBI7" s="582"/>
      <c r="GBJ7" s="582"/>
      <c r="GBK7" s="582"/>
      <c r="GBL7" s="582"/>
      <c r="GBM7" s="582"/>
      <c r="GBN7" s="582"/>
      <c r="GBO7" s="582"/>
      <c r="GBP7" s="582"/>
      <c r="GBQ7" s="582"/>
      <c r="GBR7" s="582"/>
      <c r="GBS7" s="582"/>
      <c r="GBT7" s="582"/>
      <c r="GBU7" s="582"/>
      <c r="GBV7" s="582"/>
      <c r="GBW7" s="582"/>
      <c r="GBX7" s="582"/>
      <c r="GBY7" s="582"/>
      <c r="GBZ7" s="582"/>
      <c r="GCA7" s="582"/>
      <c r="GCB7" s="582"/>
      <c r="GCC7" s="582"/>
      <c r="GCD7" s="582"/>
      <c r="GCE7" s="582"/>
      <c r="GCF7" s="582"/>
      <c r="GCG7" s="582"/>
      <c r="GCH7" s="582"/>
      <c r="GCI7" s="582"/>
      <c r="GCJ7" s="582"/>
      <c r="GCK7" s="582"/>
      <c r="GCL7" s="582"/>
      <c r="GCM7" s="582"/>
      <c r="GCN7" s="582"/>
      <c r="GCO7" s="582"/>
      <c r="GCP7" s="582"/>
      <c r="GCQ7" s="582"/>
      <c r="GCR7" s="582"/>
      <c r="GCS7" s="582"/>
      <c r="GCT7" s="582"/>
      <c r="GCU7" s="582"/>
      <c r="GCV7" s="582"/>
      <c r="GCW7" s="582"/>
      <c r="GCX7" s="582"/>
      <c r="GCY7" s="582"/>
      <c r="GCZ7" s="582"/>
      <c r="GDA7" s="582"/>
      <c r="GDB7" s="582"/>
      <c r="GDC7" s="582"/>
      <c r="GDD7" s="582"/>
      <c r="GDE7" s="582"/>
      <c r="GDF7" s="582"/>
      <c r="GDG7" s="582"/>
      <c r="GDH7" s="582"/>
      <c r="GDI7" s="582"/>
      <c r="GDJ7" s="582"/>
      <c r="GDK7" s="582"/>
      <c r="GDL7" s="582"/>
      <c r="GDM7" s="582"/>
      <c r="GDN7" s="582"/>
      <c r="GDO7" s="582"/>
      <c r="GDP7" s="582"/>
      <c r="GDQ7" s="582"/>
      <c r="GDR7" s="582"/>
      <c r="GDS7" s="582"/>
      <c r="GDT7" s="582"/>
      <c r="GDU7" s="582"/>
      <c r="GDV7" s="582"/>
      <c r="GDW7" s="582"/>
      <c r="GDX7" s="582"/>
      <c r="GDY7" s="582"/>
      <c r="GDZ7" s="582"/>
      <c r="GEA7" s="582"/>
      <c r="GEB7" s="582"/>
      <c r="GEC7" s="582"/>
      <c r="GED7" s="582"/>
      <c r="GEE7" s="582"/>
      <c r="GEF7" s="582"/>
      <c r="GEG7" s="582"/>
      <c r="GEH7" s="582"/>
      <c r="GEI7" s="582"/>
      <c r="GEJ7" s="582"/>
      <c r="GEK7" s="582"/>
      <c r="GEL7" s="582"/>
      <c r="GEM7" s="582"/>
      <c r="GEN7" s="582"/>
      <c r="GEO7" s="582"/>
      <c r="GEP7" s="582"/>
      <c r="GEQ7" s="582"/>
      <c r="GER7" s="582"/>
      <c r="GES7" s="582"/>
      <c r="GET7" s="582"/>
      <c r="GEU7" s="582"/>
      <c r="GEV7" s="582"/>
      <c r="GEW7" s="582"/>
      <c r="GEX7" s="582"/>
      <c r="GEY7" s="582"/>
      <c r="GEZ7" s="582"/>
      <c r="GFA7" s="582"/>
      <c r="GFB7" s="582"/>
      <c r="GFC7" s="582"/>
      <c r="GFD7" s="582"/>
      <c r="GFE7" s="582"/>
      <c r="GFF7" s="582"/>
      <c r="GFG7" s="582"/>
      <c r="GFH7" s="582"/>
      <c r="GFI7" s="582"/>
      <c r="GFJ7" s="582"/>
      <c r="GFK7" s="582"/>
      <c r="GFL7" s="582"/>
      <c r="GFM7" s="582"/>
      <c r="GFN7" s="582"/>
      <c r="GFO7" s="582"/>
      <c r="GFP7" s="582"/>
      <c r="GFQ7" s="582"/>
      <c r="GFR7" s="582"/>
      <c r="GFS7" s="582"/>
      <c r="GFT7" s="582"/>
      <c r="GFU7" s="582"/>
      <c r="GFV7" s="582"/>
      <c r="GFW7" s="582"/>
      <c r="GFX7" s="582"/>
      <c r="GFY7" s="582"/>
      <c r="GFZ7" s="582"/>
      <c r="GGA7" s="582"/>
      <c r="GGB7" s="582"/>
      <c r="GGC7" s="582"/>
      <c r="GGD7" s="582"/>
      <c r="GGE7" s="582"/>
      <c r="GGF7" s="582"/>
      <c r="GGG7" s="582"/>
      <c r="GGH7" s="582"/>
      <c r="GGI7" s="582"/>
      <c r="GGJ7" s="582"/>
      <c r="GGK7" s="582"/>
      <c r="GGL7" s="582"/>
      <c r="GGM7" s="582"/>
      <c r="GGN7" s="582"/>
      <c r="GGO7" s="582"/>
      <c r="GGP7" s="582"/>
      <c r="GGQ7" s="582"/>
      <c r="GGR7" s="582"/>
      <c r="GGS7" s="582"/>
      <c r="GGT7" s="582"/>
      <c r="GGU7" s="582"/>
      <c r="GGV7" s="582"/>
      <c r="GGW7" s="582"/>
      <c r="GGX7" s="582"/>
      <c r="GGY7" s="582"/>
      <c r="GGZ7" s="582"/>
      <c r="GHA7" s="582"/>
      <c r="GHB7" s="582"/>
      <c r="GHC7" s="582"/>
      <c r="GHD7" s="582"/>
      <c r="GHE7" s="582"/>
      <c r="GHF7" s="582"/>
      <c r="GHG7" s="582"/>
      <c r="GHH7" s="582"/>
      <c r="GHI7" s="582"/>
      <c r="GHJ7" s="582"/>
      <c r="GHK7" s="582"/>
      <c r="GHL7" s="582"/>
      <c r="GHM7" s="582"/>
      <c r="GHN7" s="582"/>
      <c r="GHO7" s="582"/>
      <c r="GHP7" s="582"/>
      <c r="GHQ7" s="582"/>
      <c r="GHR7" s="582"/>
      <c r="GHS7" s="582"/>
      <c r="GHT7" s="582"/>
      <c r="GHU7" s="582"/>
      <c r="GHV7" s="582"/>
      <c r="GHW7" s="582"/>
      <c r="GHX7" s="582"/>
      <c r="GHY7" s="582"/>
      <c r="GHZ7" s="582"/>
      <c r="GIA7" s="582"/>
      <c r="GIB7" s="582"/>
      <c r="GIC7" s="582"/>
      <c r="GID7" s="582"/>
      <c r="GIE7" s="582"/>
      <c r="GIF7" s="582"/>
      <c r="GIG7" s="582"/>
      <c r="GIH7" s="582"/>
      <c r="GII7" s="582"/>
      <c r="GIJ7" s="582"/>
      <c r="GIK7" s="582"/>
      <c r="GIL7" s="582"/>
      <c r="GIM7" s="582"/>
      <c r="GIN7" s="582"/>
      <c r="GIO7" s="582"/>
      <c r="GIP7" s="582"/>
      <c r="GIQ7" s="582"/>
      <c r="GIR7" s="582"/>
      <c r="GIS7" s="582"/>
      <c r="GIT7" s="582"/>
      <c r="GIU7" s="582"/>
      <c r="GIV7" s="582"/>
      <c r="GIW7" s="582"/>
      <c r="GIX7" s="582"/>
      <c r="GIY7" s="582"/>
      <c r="GIZ7" s="582"/>
      <c r="GJA7" s="582"/>
      <c r="GJB7" s="582"/>
      <c r="GJC7" s="582"/>
      <c r="GJD7" s="582"/>
      <c r="GJE7" s="582"/>
      <c r="GJF7" s="582"/>
      <c r="GJG7" s="582"/>
      <c r="GJH7" s="582"/>
      <c r="GJI7" s="582"/>
      <c r="GJJ7" s="582"/>
      <c r="GJK7" s="582"/>
      <c r="GJL7" s="582"/>
      <c r="GJM7" s="582"/>
      <c r="GJN7" s="582"/>
      <c r="GJO7" s="582"/>
      <c r="GJP7" s="582"/>
      <c r="GJQ7" s="582"/>
      <c r="GJR7" s="582"/>
      <c r="GJS7" s="582"/>
      <c r="GJT7" s="582"/>
      <c r="GJU7" s="582"/>
      <c r="GJV7" s="582"/>
      <c r="GJW7" s="582"/>
      <c r="GJX7" s="582"/>
      <c r="GJY7" s="582"/>
      <c r="GJZ7" s="582"/>
      <c r="GKA7" s="582"/>
      <c r="GKB7" s="582"/>
      <c r="GKC7" s="582"/>
      <c r="GKD7" s="582"/>
      <c r="GKE7" s="582"/>
      <c r="GKF7" s="582"/>
      <c r="GKG7" s="582"/>
      <c r="GKH7" s="582"/>
      <c r="GKI7" s="582"/>
      <c r="GKJ7" s="582"/>
      <c r="GKK7" s="582"/>
      <c r="GKL7" s="582"/>
      <c r="GKM7" s="582"/>
      <c r="GKN7" s="582"/>
      <c r="GKO7" s="582"/>
      <c r="GKP7" s="582"/>
      <c r="GKQ7" s="582"/>
      <c r="GKR7" s="582"/>
      <c r="GKS7" s="582"/>
      <c r="GKT7" s="582"/>
      <c r="GKU7" s="582"/>
      <c r="GKV7" s="582"/>
      <c r="GKW7" s="582"/>
      <c r="GKX7" s="582"/>
      <c r="GKY7" s="582"/>
      <c r="GKZ7" s="582"/>
      <c r="GLA7" s="582"/>
      <c r="GLB7" s="582"/>
      <c r="GLC7" s="582"/>
      <c r="GLD7" s="582"/>
      <c r="GLE7" s="582"/>
      <c r="GLF7" s="582"/>
      <c r="GLG7" s="582"/>
      <c r="GLH7" s="582"/>
      <c r="GLI7" s="582"/>
      <c r="GLJ7" s="582"/>
      <c r="GLK7" s="582"/>
      <c r="GLL7" s="582"/>
      <c r="GLM7" s="582"/>
      <c r="GLN7" s="582"/>
      <c r="GLO7" s="582"/>
      <c r="GLP7" s="582"/>
      <c r="GLQ7" s="582"/>
      <c r="GLR7" s="582"/>
      <c r="GLS7" s="582"/>
      <c r="GLT7" s="582"/>
      <c r="GLU7" s="582"/>
      <c r="GLV7" s="582"/>
      <c r="GLW7" s="582"/>
      <c r="GLX7" s="582"/>
      <c r="GLY7" s="582"/>
      <c r="GLZ7" s="582"/>
      <c r="GMA7" s="582"/>
      <c r="GMB7" s="582"/>
      <c r="GMC7" s="582"/>
      <c r="GMD7" s="582"/>
      <c r="GME7" s="582"/>
      <c r="GMF7" s="582"/>
      <c r="GMG7" s="582"/>
      <c r="GMH7" s="582"/>
      <c r="GMI7" s="582"/>
      <c r="GMJ7" s="582"/>
      <c r="GMK7" s="582"/>
      <c r="GML7" s="582"/>
      <c r="GMM7" s="582"/>
      <c r="GMN7" s="582"/>
      <c r="GMO7" s="582"/>
      <c r="GMP7" s="582"/>
      <c r="GMQ7" s="582"/>
      <c r="GMR7" s="582"/>
      <c r="GMS7" s="582"/>
      <c r="GMT7" s="582"/>
      <c r="GMU7" s="582"/>
      <c r="GMV7" s="582"/>
      <c r="GMW7" s="582"/>
      <c r="GMX7" s="582"/>
      <c r="GMY7" s="582"/>
      <c r="GMZ7" s="582"/>
      <c r="GNA7" s="582"/>
      <c r="GNB7" s="582"/>
      <c r="GNC7" s="582"/>
      <c r="GND7" s="582"/>
      <c r="GNE7" s="582"/>
      <c r="GNF7" s="582"/>
      <c r="GNG7" s="582"/>
      <c r="GNH7" s="582"/>
      <c r="GNI7" s="582"/>
      <c r="GNJ7" s="582"/>
      <c r="GNK7" s="582"/>
      <c r="GNL7" s="582"/>
      <c r="GNM7" s="582"/>
      <c r="GNN7" s="582"/>
      <c r="GNO7" s="582"/>
      <c r="GNP7" s="582"/>
      <c r="GNQ7" s="582"/>
      <c r="GNR7" s="582"/>
      <c r="GNS7" s="582"/>
      <c r="GNT7" s="582"/>
      <c r="GNU7" s="582"/>
      <c r="GNV7" s="582"/>
      <c r="GNW7" s="582"/>
      <c r="GNX7" s="582"/>
      <c r="GNY7" s="582"/>
      <c r="GNZ7" s="582"/>
      <c r="GOA7" s="582"/>
      <c r="GOB7" s="582"/>
      <c r="GOC7" s="582"/>
      <c r="GOD7" s="582"/>
      <c r="GOE7" s="582"/>
      <c r="GOF7" s="582"/>
      <c r="GOG7" s="582"/>
      <c r="GOH7" s="582"/>
      <c r="GOI7" s="582"/>
      <c r="GOJ7" s="582"/>
      <c r="GOK7" s="582"/>
      <c r="GOL7" s="582"/>
      <c r="GOM7" s="582"/>
      <c r="GON7" s="582"/>
      <c r="GOO7" s="582"/>
      <c r="GOP7" s="582"/>
      <c r="GOQ7" s="582"/>
      <c r="GOR7" s="582"/>
      <c r="GOS7" s="582"/>
      <c r="GOT7" s="582"/>
      <c r="GOU7" s="582"/>
      <c r="GOV7" s="582"/>
      <c r="GOW7" s="582"/>
      <c r="GOX7" s="582"/>
      <c r="GOY7" s="582"/>
      <c r="GOZ7" s="582"/>
      <c r="GPA7" s="582"/>
      <c r="GPB7" s="582"/>
      <c r="GPC7" s="582"/>
      <c r="GPD7" s="582"/>
      <c r="GPE7" s="582"/>
      <c r="GPF7" s="582"/>
      <c r="GPG7" s="582"/>
      <c r="GPH7" s="582"/>
      <c r="GPI7" s="582"/>
      <c r="GPJ7" s="582"/>
      <c r="GPK7" s="582"/>
      <c r="GPL7" s="582"/>
      <c r="GPM7" s="582"/>
      <c r="GPN7" s="582"/>
      <c r="GPO7" s="582"/>
      <c r="GPP7" s="582"/>
      <c r="GPQ7" s="582"/>
      <c r="GPR7" s="582"/>
      <c r="GPS7" s="582"/>
      <c r="GPT7" s="582"/>
      <c r="GPU7" s="582"/>
      <c r="GPV7" s="582"/>
      <c r="GPW7" s="582"/>
      <c r="GPX7" s="582"/>
      <c r="GPY7" s="582"/>
      <c r="GPZ7" s="582"/>
      <c r="GQA7" s="582"/>
      <c r="GQB7" s="582"/>
      <c r="GQC7" s="582"/>
      <c r="GQD7" s="582"/>
      <c r="GQE7" s="582"/>
      <c r="GQF7" s="582"/>
      <c r="GQG7" s="582"/>
      <c r="GQH7" s="582"/>
      <c r="GQI7" s="582"/>
      <c r="GQJ7" s="582"/>
      <c r="GQK7" s="582"/>
      <c r="GQL7" s="582"/>
      <c r="GQM7" s="582"/>
      <c r="GQN7" s="582"/>
      <c r="GQO7" s="582"/>
      <c r="GQP7" s="582"/>
      <c r="GQQ7" s="582"/>
      <c r="GQR7" s="582"/>
      <c r="GQS7" s="582"/>
      <c r="GQT7" s="582"/>
      <c r="GQU7" s="582"/>
      <c r="GQV7" s="582"/>
      <c r="GQW7" s="582"/>
      <c r="GQX7" s="582"/>
      <c r="GQY7" s="582"/>
      <c r="GQZ7" s="582"/>
      <c r="GRA7" s="582"/>
      <c r="GRB7" s="582"/>
      <c r="GRC7" s="582"/>
      <c r="GRD7" s="582"/>
      <c r="GRE7" s="582"/>
      <c r="GRF7" s="582"/>
      <c r="GRG7" s="582"/>
      <c r="GRH7" s="582"/>
      <c r="GRI7" s="582"/>
      <c r="GRJ7" s="582"/>
      <c r="GRK7" s="582"/>
      <c r="GRL7" s="582"/>
      <c r="GRM7" s="582"/>
      <c r="GRN7" s="582"/>
      <c r="GRO7" s="582"/>
      <c r="GRP7" s="582"/>
      <c r="GRQ7" s="582"/>
      <c r="GRR7" s="582"/>
      <c r="GRS7" s="582"/>
      <c r="GRT7" s="582"/>
      <c r="GRU7" s="582"/>
      <c r="GRV7" s="582"/>
      <c r="GRW7" s="582"/>
      <c r="GRX7" s="582"/>
      <c r="GRY7" s="582"/>
      <c r="GRZ7" s="582"/>
      <c r="GSA7" s="582"/>
      <c r="GSB7" s="582"/>
      <c r="GSC7" s="582"/>
      <c r="GSD7" s="582"/>
      <c r="GSE7" s="582"/>
      <c r="GSF7" s="582"/>
      <c r="GSG7" s="582"/>
      <c r="GSH7" s="582"/>
      <c r="GSI7" s="582"/>
      <c r="GSJ7" s="582"/>
      <c r="GSK7" s="582"/>
      <c r="GSL7" s="582"/>
      <c r="GSM7" s="582"/>
      <c r="GSN7" s="582"/>
      <c r="GSO7" s="582"/>
      <c r="GSP7" s="582"/>
      <c r="GSQ7" s="582"/>
      <c r="GSR7" s="582"/>
      <c r="GSS7" s="582"/>
      <c r="GST7" s="582"/>
      <c r="GSU7" s="582"/>
      <c r="GSV7" s="582"/>
      <c r="GSW7" s="582"/>
      <c r="GSX7" s="582"/>
      <c r="GSY7" s="582"/>
      <c r="GSZ7" s="582"/>
      <c r="GTA7" s="582"/>
      <c r="GTB7" s="582"/>
      <c r="GTC7" s="582"/>
      <c r="GTD7" s="582"/>
      <c r="GTE7" s="582"/>
      <c r="GTF7" s="582"/>
      <c r="GTG7" s="582"/>
      <c r="GTH7" s="582"/>
      <c r="GTI7" s="582"/>
      <c r="GTJ7" s="582"/>
      <c r="GTK7" s="582"/>
      <c r="GTL7" s="582"/>
      <c r="GTM7" s="582"/>
      <c r="GTN7" s="582"/>
      <c r="GTO7" s="582"/>
      <c r="GTP7" s="582"/>
      <c r="GTQ7" s="582"/>
      <c r="GTR7" s="582"/>
      <c r="GTS7" s="582"/>
      <c r="GTT7" s="582"/>
      <c r="GTU7" s="582"/>
      <c r="GTV7" s="582"/>
      <c r="GTW7" s="582"/>
      <c r="GTX7" s="582"/>
      <c r="GTY7" s="582"/>
      <c r="GTZ7" s="582"/>
      <c r="GUA7" s="582"/>
      <c r="GUB7" s="582"/>
      <c r="GUC7" s="582"/>
    </row>
    <row r="8" spans="1:5281" ht="19.5">
      <c r="A8" s="594">
        <v>5</v>
      </c>
      <c r="B8" s="595" t="s">
        <v>774</v>
      </c>
      <c r="C8" s="599">
        <v>1949792</v>
      </c>
      <c r="D8" s="597" t="s">
        <v>2017</v>
      </c>
      <c r="E8" s="597" t="s">
        <v>2017</v>
      </c>
      <c r="F8" s="598">
        <f t="shared" si="0"/>
        <v>1949792</v>
      </c>
    </row>
    <row r="9" spans="1:5281" ht="19.5">
      <c r="A9" s="594">
        <v>6</v>
      </c>
      <c r="B9" s="595" t="s">
        <v>775</v>
      </c>
      <c r="C9" s="599">
        <v>1670752</v>
      </c>
      <c r="D9" s="597" t="s">
        <v>2017</v>
      </c>
      <c r="E9" s="597" t="s">
        <v>2017</v>
      </c>
      <c r="F9" s="598">
        <f t="shared" si="0"/>
        <v>1670752</v>
      </c>
    </row>
    <row r="10" spans="1:5281" ht="19.5">
      <c r="A10" s="594">
        <v>7</v>
      </c>
      <c r="B10" s="595" t="s">
        <v>776</v>
      </c>
      <c r="C10" s="599">
        <v>1904583</v>
      </c>
      <c r="D10" s="597" t="s">
        <v>2017</v>
      </c>
      <c r="E10" s="597" t="s">
        <v>2017</v>
      </c>
      <c r="F10" s="598">
        <f t="shared" si="0"/>
        <v>1904583</v>
      </c>
    </row>
    <row r="11" spans="1:5281" ht="19.5">
      <c r="A11" s="594">
        <v>8</v>
      </c>
      <c r="B11" s="595" t="s">
        <v>777</v>
      </c>
      <c r="C11" s="599">
        <v>1140649</v>
      </c>
      <c r="D11" s="597" t="s">
        <v>2017</v>
      </c>
      <c r="E11" s="597" t="s">
        <v>2017</v>
      </c>
      <c r="F11" s="598">
        <f t="shared" si="0"/>
        <v>1140649</v>
      </c>
    </row>
    <row r="12" spans="1:5281" ht="19.5">
      <c r="A12" s="594">
        <v>9</v>
      </c>
      <c r="B12" s="595" t="s">
        <v>778</v>
      </c>
      <c r="C12" s="599">
        <v>918321</v>
      </c>
      <c r="D12" s="597" t="s">
        <v>2017</v>
      </c>
      <c r="E12" s="597" t="s">
        <v>2017</v>
      </c>
      <c r="F12" s="598">
        <f t="shared" si="0"/>
        <v>918321</v>
      </c>
    </row>
    <row r="13" spans="1:5281" ht="21.75" thickBot="1">
      <c r="A13" s="594">
        <v>10</v>
      </c>
      <c r="B13" s="600" t="s">
        <v>779</v>
      </c>
      <c r="C13" s="599">
        <v>294545</v>
      </c>
      <c r="D13" s="597" t="s">
        <v>2017</v>
      </c>
      <c r="E13" s="597" t="s">
        <v>2017</v>
      </c>
      <c r="F13" s="598">
        <f t="shared" si="0"/>
        <v>294545</v>
      </c>
    </row>
    <row r="14" spans="1:5281" ht="21.75" thickBot="1">
      <c r="A14" s="3608" t="s">
        <v>49</v>
      </c>
      <c r="B14" s="3609" t="s">
        <v>49</v>
      </c>
      <c r="C14" s="601">
        <f>SUM(C4:C13)</f>
        <v>22055820</v>
      </c>
      <c r="D14" s="602">
        <f>SUM(D4:D13)</f>
        <v>9721150</v>
      </c>
      <c r="E14" s="602">
        <f>SUM(E4:E13)</f>
        <v>7157</v>
      </c>
      <c r="F14" s="603">
        <f>SUM(F4:F13)</f>
        <v>31784127</v>
      </c>
    </row>
    <row r="15" spans="1:5281" ht="18.75">
      <c r="B15" s="3586" t="s">
        <v>780</v>
      </c>
      <c r="C15" s="3586"/>
      <c r="D15" s="3586"/>
      <c r="E15" s="3586"/>
      <c r="F15" s="582"/>
    </row>
    <row r="16" spans="1:5281" ht="26.25" customHeight="1">
      <c r="B16" s="582"/>
      <c r="C16" s="582"/>
      <c r="D16" s="582"/>
      <c r="E16" s="582"/>
      <c r="F16" s="582"/>
    </row>
    <row r="17" spans="1:5281" ht="12.75">
      <c r="B17" s="582"/>
      <c r="C17" s="582"/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2"/>
      <c r="X17" s="582"/>
      <c r="Y17" s="582"/>
      <c r="Z17" s="582"/>
      <c r="AA17" s="582"/>
      <c r="AB17" s="582"/>
      <c r="AC17" s="582"/>
      <c r="AD17" s="582"/>
      <c r="AE17" s="582"/>
      <c r="AF17" s="582"/>
      <c r="AG17" s="582"/>
      <c r="AH17" s="582"/>
      <c r="AI17" s="582"/>
      <c r="AJ17" s="582"/>
      <c r="AK17" s="582"/>
      <c r="AL17" s="582"/>
      <c r="AM17" s="582"/>
      <c r="AN17" s="582"/>
      <c r="AO17" s="582"/>
      <c r="AP17" s="582"/>
      <c r="AQ17" s="582"/>
      <c r="AR17" s="582"/>
      <c r="AS17" s="582"/>
      <c r="AT17" s="582"/>
      <c r="AU17" s="582"/>
      <c r="AV17" s="582"/>
      <c r="AW17" s="582"/>
      <c r="AX17" s="582"/>
      <c r="AY17" s="582"/>
      <c r="AZ17" s="582"/>
      <c r="BA17" s="582"/>
      <c r="BB17" s="582"/>
      <c r="BC17" s="582"/>
      <c r="BD17" s="582"/>
      <c r="BE17" s="582"/>
      <c r="BF17" s="582"/>
      <c r="BG17" s="582"/>
      <c r="BH17" s="582"/>
      <c r="BI17" s="582"/>
      <c r="BJ17" s="582"/>
      <c r="BK17" s="582"/>
      <c r="BL17" s="582"/>
      <c r="BM17" s="582"/>
      <c r="BN17" s="582"/>
      <c r="BO17" s="582"/>
      <c r="BP17" s="582"/>
      <c r="BQ17" s="582"/>
      <c r="BR17" s="582"/>
      <c r="BS17" s="582"/>
      <c r="BT17" s="582"/>
      <c r="BU17" s="582"/>
      <c r="BV17" s="582"/>
      <c r="BW17" s="582"/>
      <c r="BX17" s="582"/>
      <c r="BY17" s="582"/>
      <c r="BZ17" s="582"/>
      <c r="CA17" s="582"/>
      <c r="CB17" s="582"/>
      <c r="CC17" s="582"/>
      <c r="CD17" s="582"/>
      <c r="CE17" s="582"/>
      <c r="CF17" s="582"/>
      <c r="CG17" s="582"/>
      <c r="CH17" s="582"/>
      <c r="CI17" s="582"/>
      <c r="CJ17" s="582"/>
      <c r="CK17" s="582"/>
      <c r="CL17" s="582"/>
      <c r="CM17" s="582"/>
      <c r="CN17" s="582"/>
      <c r="CO17" s="582"/>
      <c r="CP17" s="582"/>
      <c r="CQ17" s="582"/>
      <c r="CR17" s="582"/>
      <c r="CS17" s="582"/>
      <c r="CT17" s="582"/>
      <c r="CU17" s="582"/>
      <c r="CV17" s="582"/>
      <c r="CW17" s="582"/>
      <c r="CX17" s="582"/>
      <c r="CY17" s="582"/>
      <c r="CZ17" s="582"/>
      <c r="DA17" s="582"/>
      <c r="DB17" s="582"/>
      <c r="DC17" s="582"/>
      <c r="DD17" s="582"/>
      <c r="DE17" s="582"/>
      <c r="DF17" s="582"/>
      <c r="DG17" s="582"/>
      <c r="DH17" s="582"/>
      <c r="DI17" s="582"/>
      <c r="DJ17" s="582"/>
      <c r="DK17" s="582"/>
      <c r="DL17" s="582"/>
      <c r="DM17" s="582"/>
      <c r="DN17" s="582"/>
      <c r="DO17" s="582"/>
      <c r="DP17" s="582"/>
      <c r="DQ17" s="582"/>
      <c r="DR17" s="582"/>
      <c r="DS17" s="582"/>
      <c r="DT17" s="582"/>
      <c r="DU17" s="582"/>
      <c r="DV17" s="582"/>
      <c r="DW17" s="582"/>
      <c r="DX17" s="582"/>
      <c r="DY17" s="582"/>
      <c r="DZ17" s="582"/>
      <c r="EA17" s="582"/>
      <c r="EB17" s="582"/>
      <c r="EC17" s="582"/>
      <c r="ED17" s="582"/>
      <c r="EE17" s="582"/>
      <c r="EF17" s="582"/>
      <c r="EG17" s="582"/>
      <c r="EH17" s="582"/>
      <c r="EI17" s="582"/>
      <c r="EJ17" s="582"/>
      <c r="EK17" s="582"/>
      <c r="EL17" s="582"/>
      <c r="EM17" s="582"/>
      <c r="EN17" s="582"/>
      <c r="EO17" s="582"/>
      <c r="EP17" s="582"/>
      <c r="EQ17" s="582"/>
      <c r="ER17" s="582"/>
      <c r="ES17" s="582"/>
      <c r="ET17" s="582"/>
      <c r="EU17" s="582"/>
      <c r="EV17" s="582"/>
      <c r="EW17" s="582"/>
      <c r="EX17" s="582"/>
      <c r="EY17" s="582"/>
      <c r="EZ17" s="582"/>
      <c r="FA17" s="582"/>
      <c r="FB17" s="582"/>
      <c r="FC17" s="582"/>
      <c r="FD17" s="582"/>
      <c r="FE17" s="582"/>
      <c r="FF17" s="582"/>
      <c r="FG17" s="582"/>
      <c r="FH17" s="582"/>
      <c r="FI17" s="582"/>
      <c r="FJ17" s="582"/>
      <c r="FK17" s="582"/>
      <c r="FL17" s="582"/>
      <c r="FM17" s="582"/>
      <c r="FN17" s="582"/>
      <c r="FO17" s="582"/>
      <c r="FP17" s="582"/>
      <c r="FQ17" s="582"/>
      <c r="FR17" s="582"/>
      <c r="FS17" s="582"/>
      <c r="FT17" s="582"/>
      <c r="FU17" s="582"/>
      <c r="FV17" s="582"/>
      <c r="FW17" s="582"/>
      <c r="FX17" s="582"/>
      <c r="FY17" s="582"/>
      <c r="FZ17" s="582"/>
      <c r="GA17" s="582"/>
      <c r="GB17" s="582"/>
      <c r="GC17" s="582"/>
      <c r="GD17" s="582"/>
      <c r="GE17" s="582"/>
      <c r="GF17" s="582"/>
      <c r="GG17" s="582"/>
      <c r="GH17" s="582"/>
      <c r="GI17" s="582"/>
      <c r="GJ17" s="582"/>
      <c r="GK17" s="582"/>
      <c r="GL17" s="582"/>
      <c r="GM17" s="582"/>
      <c r="GN17" s="582"/>
      <c r="GO17" s="582"/>
      <c r="GP17" s="582"/>
      <c r="GQ17" s="582"/>
      <c r="GR17" s="582"/>
      <c r="GS17" s="582"/>
      <c r="GT17" s="582"/>
      <c r="GU17" s="582"/>
      <c r="GV17" s="582"/>
      <c r="GW17" s="582"/>
      <c r="GX17" s="582"/>
      <c r="GY17" s="582"/>
      <c r="GZ17" s="582"/>
      <c r="HA17" s="582"/>
      <c r="HB17" s="582"/>
      <c r="HC17" s="582"/>
      <c r="HD17" s="582"/>
      <c r="HE17" s="582"/>
      <c r="HF17" s="582"/>
      <c r="HG17" s="582"/>
      <c r="HH17" s="582"/>
      <c r="HI17" s="582"/>
      <c r="HJ17" s="582"/>
      <c r="HK17" s="582"/>
      <c r="HL17" s="582"/>
      <c r="HM17" s="582"/>
      <c r="HN17" s="582"/>
      <c r="HO17" s="582"/>
      <c r="HP17" s="582"/>
      <c r="HQ17" s="582"/>
      <c r="HR17" s="582"/>
      <c r="HS17" s="582"/>
      <c r="HT17" s="582"/>
      <c r="HU17" s="582"/>
      <c r="HV17" s="582"/>
      <c r="HW17" s="582"/>
      <c r="HX17" s="582"/>
      <c r="HY17" s="582"/>
      <c r="HZ17" s="582"/>
      <c r="IA17" s="582"/>
      <c r="IB17" s="582"/>
      <c r="IC17" s="582"/>
      <c r="ID17" s="582"/>
      <c r="IE17" s="582"/>
      <c r="IF17" s="582"/>
      <c r="IG17" s="582"/>
      <c r="IH17" s="582"/>
      <c r="II17" s="582"/>
      <c r="IJ17" s="582"/>
      <c r="IK17" s="582"/>
      <c r="IL17" s="582"/>
      <c r="IM17" s="582"/>
      <c r="IN17" s="582"/>
      <c r="IO17" s="582"/>
      <c r="IP17" s="582"/>
      <c r="IQ17" s="582"/>
      <c r="IR17" s="582"/>
      <c r="IS17" s="582"/>
      <c r="IT17" s="582"/>
      <c r="IU17" s="582"/>
      <c r="IV17" s="582"/>
      <c r="IW17" s="582"/>
      <c r="IX17" s="582"/>
      <c r="IY17" s="582"/>
      <c r="IZ17" s="582"/>
      <c r="JA17" s="582"/>
      <c r="JB17" s="582"/>
      <c r="JC17" s="582"/>
      <c r="JD17" s="582"/>
      <c r="JE17" s="582"/>
      <c r="JF17" s="582"/>
      <c r="JG17" s="582"/>
      <c r="JH17" s="582"/>
      <c r="JI17" s="582"/>
      <c r="JJ17" s="582"/>
      <c r="JK17" s="582"/>
      <c r="JL17" s="582"/>
      <c r="JM17" s="582"/>
      <c r="JN17" s="582"/>
      <c r="JO17" s="582"/>
      <c r="JP17" s="582"/>
      <c r="JQ17" s="582"/>
      <c r="JR17" s="582"/>
      <c r="JS17" s="582"/>
      <c r="JT17" s="582"/>
      <c r="JU17" s="582"/>
      <c r="JV17" s="582"/>
      <c r="JW17" s="582"/>
      <c r="JX17" s="582"/>
      <c r="JY17" s="582"/>
      <c r="JZ17" s="582"/>
      <c r="KA17" s="582"/>
      <c r="KB17" s="582"/>
      <c r="KC17" s="582"/>
      <c r="KD17" s="582"/>
      <c r="KE17" s="582"/>
      <c r="KF17" s="582"/>
      <c r="KG17" s="582"/>
      <c r="KH17" s="582"/>
      <c r="KI17" s="582"/>
      <c r="KJ17" s="582"/>
      <c r="KK17" s="582"/>
      <c r="KL17" s="582"/>
      <c r="KM17" s="582"/>
      <c r="KN17" s="582"/>
      <c r="KO17" s="582"/>
      <c r="KP17" s="582"/>
      <c r="KQ17" s="582"/>
      <c r="KR17" s="582"/>
      <c r="KS17" s="582"/>
      <c r="KT17" s="582"/>
      <c r="KU17" s="582"/>
      <c r="KV17" s="582"/>
      <c r="KW17" s="582"/>
      <c r="KX17" s="582"/>
      <c r="KY17" s="582"/>
      <c r="KZ17" s="582"/>
      <c r="LA17" s="582"/>
      <c r="LB17" s="582"/>
      <c r="LC17" s="582"/>
      <c r="LD17" s="582"/>
      <c r="LE17" s="582"/>
      <c r="LF17" s="582"/>
      <c r="LG17" s="582"/>
      <c r="LH17" s="582"/>
      <c r="LI17" s="582"/>
      <c r="LJ17" s="582"/>
      <c r="LK17" s="582"/>
      <c r="LL17" s="582"/>
      <c r="LM17" s="582"/>
      <c r="LN17" s="582"/>
      <c r="LO17" s="582"/>
      <c r="LP17" s="582"/>
      <c r="LQ17" s="582"/>
      <c r="LR17" s="582"/>
      <c r="LS17" s="582"/>
      <c r="LT17" s="582"/>
      <c r="LU17" s="582"/>
      <c r="LV17" s="582"/>
      <c r="LW17" s="582"/>
      <c r="LX17" s="582"/>
      <c r="LY17" s="582"/>
      <c r="LZ17" s="582"/>
      <c r="MA17" s="582"/>
      <c r="MB17" s="582"/>
      <c r="MC17" s="582"/>
      <c r="MD17" s="582"/>
      <c r="ME17" s="582"/>
      <c r="MF17" s="582"/>
      <c r="MG17" s="582"/>
      <c r="MH17" s="582"/>
      <c r="MI17" s="582"/>
      <c r="MJ17" s="582"/>
      <c r="MK17" s="582"/>
      <c r="ML17" s="582"/>
      <c r="MM17" s="582"/>
      <c r="MN17" s="582"/>
      <c r="MO17" s="582"/>
      <c r="MP17" s="582"/>
      <c r="MQ17" s="582"/>
      <c r="MR17" s="582"/>
      <c r="MS17" s="582"/>
      <c r="MT17" s="582"/>
      <c r="MU17" s="582"/>
      <c r="MV17" s="582"/>
      <c r="MW17" s="582"/>
      <c r="MX17" s="582"/>
      <c r="MY17" s="582"/>
      <c r="MZ17" s="582"/>
      <c r="NA17" s="582"/>
      <c r="NB17" s="582"/>
      <c r="NC17" s="582"/>
      <c r="ND17" s="582"/>
      <c r="NE17" s="582"/>
      <c r="NF17" s="582"/>
      <c r="NG17" s="582"/>
      <c r="NH17" s="582"/>
      <c r="NI17" s="582"/>
      <c r="NJ17" s="582"/>
      <c r="NK17" s="582"/>
      <c r="NL17" s="582"/>
      <c r="NM17" s="582"/>
      <c r="NN17" s="582"/>
      <c r="NO17" s="582"/>
      <c r="NP17" s="582"/>
      <c r="NQ17" s="582"/>
      <c r="NR17" s="582"/>
      <c r="NS17" s="582"/>
      <c r="NT17" s="582"/>
      <c r="NU17" s="582"/>
      <c r="NV17" s="582"/>
      <c r="NW17" s="582"/>
      <c r="NX17" s="582"/>
      <c r="NY17" s="582"/>
      <c r="NZ17" s="582"/>
      <c r="OA17" s="582"/>
      <c r="OB17" s="582"/>
      <c r="OC17" s="582"/>
      <c r="OD17" s="582"/>
      <c r="OE17" s="582"/>
      <c r="OF17" s="582"/>
      <c r="OG17" s="582"/>
      <c r="OH17" s="582"/>
      <c r="OI17" s="582"/>
      <c r="OJ17" s="582"/>
      <c r="OK17" s="582"/>
      <c r="OL17" s="582"/>
      <c r="OM17" s="582"/>
      <c r="ON17" s="582"/>
      <c r="OO17" s="582"/>
      <c r="OP17" s="582"/>
      <c r="OQ17" s="582"/>
      <c r="OR17" s="582"/>
      <c r="OS17" s="582"/>
      <c r="OT17" s="582"/>
      <c r="OU17" s="582"/>
      <c r="OV17" s="582"/>
      <c r="OW17" s="582"/>
      <c r="OX17" s="582"/>
      <c r="OY17" s="582"/>
      <c r="OZ17" s="582"/>
      <c r="PA17" s="582"/>
      <c r="PB17" s="582"/>
      <c r="PC17" s="582"/>
      <c r="PD17" s="582"/>
      <c r="PE17" s="582"/>
      <c r="PF17" s="582"/>
      <c r="PG17" s="582"/>
      <c r="PH17" s="582"/>
      <c r="PI17" s="582"/>
      <c r="PJ17" s="582"/>
      <c r="PK17" s="582"/>
      <c r="PL17" s="582"/>
      <c r="PM17" s="582"/>
      <c r="PN17" s="582"/>
      <c r="PO17" s="582"/>
      <c r="PP17" s="582"/>
      <c r="PQ17" s="582"/>
      <c r="PR17" s="582"/>
      <c r="PS17" s="582"/>
      <c r="PT17" s="582"/>
      <c r="PU17" s="582"/>
      <c r="PV17" s="582"/>
      <c r="PW17" s="582"/>
      <c r="PX17" s="582"/>
      <c r="PY17" s="582"/>
      <c r="PZ17" s="582"/>
      <c r="QA17" s="582"/>
      <c r="QB17" s="582"/>
      <c r="QC17" s="582"/>
      <c r="QD17" s="582"/>
      <c r="QE17" s="582"/>
      <c r="QF17" s="582"/>
      <c r="QG17" s="582"/>
      <c r="QH17" s="582"/>
      <c r="QI17" s="582"/>
      <c r="QJ17" s="582"/>
      <c r="QK17" s="582"/>
      <c r="QL17" s="582"/>
      <c r="QM17" s="582"/>
      <c r="QN17" s="582"/>
      <c r="QO17" s="582"/>
      <c r="QP17" s="582"/>
      <c r="QQ17" s="582"/>
      <c r="QR17" s="582"/>
      <c r="QS17" s="582"/>
      <c r="QT17" s="582"/>
      <c r="QU17" s="582"/>
      <c r="QV17" s="582"/>
      <c r="QW17" s="582"/>
      <c r="QX17" s="582"/>
      <c r="QY17" s="582"/>
      <c r="QZ17" s="582"/>
      <c r="RA17" s="582"/>
      <c r="RB17" s="582"/>
      <c r="RC17" s="582"/>
      <c r="RD17" s="582"/>
      <c r="RE17" s="582"/>
      <c r="RF17" s="582"/>
      <c r="RG17" s="582"/>
      <c r="RH17" s="582"/>
      <c r="RI17" s="582"/>
      <c r="RJ17" s="582"/>
      <c r="RK17" s="582"/>
      <c r="RL17" s="582"/>
      <c r="RM17" s="582"/>
      <c r="RN17" s="582"/>
      <c r="RO17" s="582"/>
      <c r="RP17" s="582"/>
      <c r="RQ17" s="582"/>
      <c r="RR17" s="582"/>
      <c r="RS17" s="582"/>
      <c r="RT17" s="582"/>
      <c r="RU17" s="582"/>
      <c r="RV17" s="582"/>
      <c r="RW17" s="582"/>
      <c r="RX17" s="582"/>
      <c r="RY17" s="582"/>
      <c r="RZ17" s="582"/>
      <c r="SA17" s="582"/>
      <c r="SB17" s="582"/>
      <c r="SC17" s="582"/>
      <c r="SD17" s="582"/>
      <c r="SE17" s="582"/>
      <c r="SF17" s="582"/>
      <c r="SG17" s="582"/>
      <c r="SH17" s="582"/>
      <c r="SI17" s="582"/>
      <c r="SJ17" s="582"/>
      <c r="SK17" s="582"/>
      <c r="SL17" s="582"/>
      <c r="SM17" s="582"/>
      <c r="SN17" s="582"/>
      <c r="SO17" s="582"/>
      <c r="SP17" s="582"/>
      <c r="SQ17" s="582"/>
      <c r="SR17" s="582"/>
      <c r="SS17" s="582"/>
      <c r="ST17" s="582"/>
      <c r="SU17" s="582"/>
      <c r="SV17" s="582"/>
      <c r="SW17" s="582"/>
      <c r="SX17" s="582"/>
      <c r="SY17" s="582"/>
      <c r="SZ17" s="582"/>
      <c r="TA17" s="582"/>
      <c r="TB17" s="582"/>
      <c r="TC17" s="582"/>
      <c r="TD17" s="582"/>
      <c r="TE17" s="582"/>
      <c r="TF17" s="582"/>
      <c r="TG17" s="582"/>
      <c r="TH17" s="582"/>
      <c r="TI17" s="582"/>
      <c r="TJ17" s="582"/>
      <c r="TK17" s="582"/>
      <c r="TL17" s="582"/>
      <c r="TM17" s="582"/>
      <c r="TN17" s="582"/>
      <c r="TO17" s="582"/>
      <c r="TP17" s="582"/>
      <c r="TQ17" s="582"/>
      <c r="TR17" s="582"/>
      <c r="TS17" s="582"/>
      <c r="TT17" s="582"/>
      <c r="TU17" s="582"/>
      <c r="TV17" s="582"/>
      <c r="TW17" s="582"/>
      <c r="TX17" s="582"/>
      <c r="TY17" s="582"/>
      <c r="TZ17" s="582"/>
      <c r="UA17" s="582"/>
      <c r="UB17" s="582"/>
      <c r="UC17" s="582"/>
      <c r="UD17" s="582"/>
      <c r="UE17" s="582"/>
      <c r="UF17" s="582"/>
      <c r="UG17" s="582"/>
      <c r="UH17" s="582"/>
      <c r="UI17" s="582"/>
      <c r="UJ17" s="582"/>
      <c r="UK17" s="582"/>
      <c r="UL17" s="582"/>
      <c r="UM17" s="582"/>
      <c r="UN17" s="582"/>
      <c r="UO17" s="582"/>
      <c r="UP17" s="582"/>
      <c r="UQ17" s="582"/>
      <c r="UR17" s="582"/>
      <c r="US17" s="582"/>
      <c r="UT17" s="582"/>
      <c r="UU17" s="582"/>
      <c r="UV17" s="582"/>
      <c r="UW17" s="582"/>
      <c r="UX17" s="582"/>
      <c r="UY17" s="582"/>
      <c r="UZ17" s="582"/>
      <c r="VA17" s="582"/>
      <c r="VB17" s="582"/>
      <c r="VC17" s="582"/>
      <c r="VD17" s="582"/>
      <c r="VE17" s="582"/>
      <c r="VF17" s="582"/>
      <c r="VG17" s="582"/>
      <c r="VH17" s="582"/>
      <c r="VI17" s="582"/>
      <c r="VJ17" s="582"/>
      <c r="VK17" s="582"/>
      <c r="VL17" s="582"/>
      <c r="VM17" s="582"/>
      <c r="VN17" s="582"/>
      <c r="VO17" s="582"/>
      <c r="VP17" s="582"/>
      <c r="VQ17" s="582"/>
      <c r="VR17" s="582"/>
      <c r="VS17" s="582"/>
      <c r="VT17" s="582"/>
      <c r="VU17" s="582"/>
      <c r="VV17" s="582"/>
      <c r="VW17" s="582"/>
      <c r="VX17" s="582"/>
      <c r="VY17" s="582"/>
      <c r="VZ17" s="582"/>
      <c r="WA17" s="582"/>
      <c r="WB17" s="582"/>
      <c r="WC17" s="582"/>
      <c r="WD17" s="582"/>
      <c r="WE17" s="582"/>
      <c r="WF17" s="582"/>
      <c r="WG17" s="582"/>
      <c r="WH17" s="582"/>
      <c r="WI17" s="582"/>
      <c r="WJ17" s="582"/>
      <c r="WK17" s="582"/>
      <c r="WL17" s="582"/>
      <c r="WM17" s="582"/>
      <c r="WN17" s="582"/>
      <c r="WO17" s="582"/>
      <c r="WP17" s="582"/>
      <c r="WQ17" s="582"/>
      <c r="WR17" s="582"/>
      <c r="WS17" s="582"/>
      <c r="WT17" s="582"/>
      <c r="WU17" s="582"/>
      <c r="WV17" s="582"/>
      <c r="WW17" s="582"/>
      <c r="WX17" s="582"/>
      <c r="WY17" s="582"/>
      <c r="WZ17" s="582"/>
      <c r="XA17" s="582"/>
      <c r="XB17" s="582"/>
      <c r="XC17" s="582"/>
      <c r="XD17" s="582"/>
      <c r="XE17" s="582"/>
      <c r="XF17" s="582"/>
      <c r="XG17" s="582"/>
      <c r="XH17" s="582"/>
      <c r="XI17" s="582"/>
      <c r="XJ17" s="582"/>
      <c r="XK17" s="582"/>
      <c r="XL17" s="582"/>
      <c r="XM17" s="582"/>
      <c r="XN17" s="582"/>
      <c r="XO17" s="582"/>
      <c r="XP17" s="582"/>
      <c r="XQ17" s="582"/>
      <c r="XR17" s="582"/>
      <c r="XS17" s="582"/>
      <c r="XT17" s="582"/>
      <c r="XU17" s="582"/>
      <c r="XV17" s="582"/>
      <c r="XW17" s="582"/>
      <c r="XX17" s="582"/>
      <c r="XY17" s="582"/>
      <c r="XZ17" s="582"/>
      <c r="YA17" s="582"/>
      <c r="YB17" s="582"/>
      <c r="YC17" s="582"/>
      <c r="YD17" s="582"/>
      <c r="YE17" s="582"/>
      <c r="YF17" s="582"/>
      <c r="YG17" s="582"/>
      <c r="YH17" s="582"/>
      <c r="YI17" s="582"/>
      <c r="YJ17" s="582"/>
      <c r="YK17" s="582"/>
      <c r="YL17" s="582"/>
      <c r="YM17" s="582"/>
      <c r="YN17" s="582"/>
      <c r="YO17" s="582"/>
      <c r="YP17" s="582"/>
      <c r="YQ17" s="582"/>
      <c r="YR17" s="582"/>
      <c r="YS17" s="582"/>
      <c r="YT17" s="582"/>
      <c r="YU17" s="582"/>
      <c r="YV17" s="582"/>
      <c r="YW17" s="582"/>
      <c r="YX17" s="582"/>
      <c r="YY17" s="582"/>
      <c r="YZ17" s="582"/>
      <c r="ZA17" s="582"/>
      <c r="ZB17" s="582"/>
      <c r="ZC17" s="582"/>
      <c r="ZD17" s="582"/>
      <c r="ZE17" s="582"/>
      <c r="ZF17" s="582"/>
      <c r="ZG17" s="582"/>
      <c r="ZH17" s="582"/>
      <c r="ZI17" s="582"/>
      <c r="ZJ17" s="582"/>
      <c r="ZK17" s="582"/>
      <c r="ZL17" s="582"/>
      <c r="ZM17" s="582"/>
      <c r="ZN17" s="582"/>
      <c r="ZO17" s="582"/>
      <c r="ZP17" s="582"/>
      <c r="ZQ17" s="582"/>
      <c r="ZR17" s="582"/>
      <c r="ZS17" s="582"/>
      <c r="ZT17" s="582"/>
      <c r="ZU17" s="582"/>
      <c r="ZV17" s="582"/>
      <c r="ZW17" s="582"/>
      <c r="ZX17" s="582"/>
      <c r="ZY17" s="582"/>
      <c r="ZZ17" s="582"/>
      <c r="AAA17" s="582"/>
      <c r="AAB17" s="582"/>
      <c r="AAC17" s="582"/>
      <c r="AAD17" s="582"/>
      <c r="AAE17" s="582"/>
      <c r="AAF17" s="582"/>
      <c r="AAG17" s="582"/>
      <c r="AAH17" s="582"/>
      <c r="AAI17" s="582"/>
      <c r="AAJ17" s="582"/>
      <c r="AAK17" s="582"/>
      <c r="AAL17" s="582"/>
      <c r="AAM17" s="582"/>
      <c r="AAN17" s="582"/>
      <c r="AAO17" s="582"/>
      <c r="AAP17" s="582"/>
      <c r="AAQ17" s="582"/>
      <c r="AAR17" s="582"/>
      <c r="AAS17" s="582"/>
      <c r="AAT17" s="582"/>
      <c r="AAU17" s="582"/>
      <c r="AAV17" s="582"/>
      <c r="AAW17" s="582"/>
      <c r="AAX17" s="582"/>
      <c r="AAY17" s="582"/>
      <c r="AAZ17" s="582"/>
      <c r="ABA17" s="582"/>
      <c r="ABB17" s="582"/>
      <c r="ABC17" s="582"/>
      <c r="ABD17" s="582"/>
      <c r="ABE17" s="582"/>
      <c r="ABF17" s="582"/>
      <c r="ABG17" s="582"/>
      <c r="ABH17" s="582"/>
      <c r="ABI17" s="582"/>
      <c r="ABJ17" s="582"/>
      <c r="ABK17" s="582"/>
      <c r="ABL17" s="582"/>
      <c r="ABM17" s="582"/>
      <c r="ABN17" s="582"/>
      <c r="ABO17" s="582"/>
      <c r="ABP17" s="582"/>
      <c r="ABQ17" s="582"/>
      <c r="ABR17" s="582"/>
      <c r="ABS17" s="582"/>
      <c r="ABT17" s="582"/>
      <c r="ABU17" s="582"/>
      <c r="ABV17" s="582"/>
      <c r="ABW17" s="582"/>
      <c r="ABX17" s="582"/>
      <c r="ABY17" s="582"/>
      <c r="ABZ17" s="582"/>
      <c r="ACA17" s="582"/>
      <c r="ACB17" s="582"/>
      <c r="ACC17" s="582"/>
      <c r="ACD17" s="582"/>
      <c r="ACE17" s="582"/>
      <c r="ACF17" s="582"/>
      <c r="ACG17" s="582"/>
      <c r="ACH17" s="582"/>
      <c r="ACI17" s="582"/>
      <c r="ACJ17" s="582"/>
      <c r="ACK17" s="582"/>
      <c r="ACL17" s="582"/>
      <c r="ACM17" s="582"/>
      <c r="ACN17" s="582"/>
      <c r="ACO17" s="582"/>
      <c r="ACP17" s="582"/>
      <c r="ACQ17" s="582"/>
      <c r="ACR17" s="582"/>
      <c r="ACS17" s="582"/>
      <c r="ACT17" s="582"/>
      <c r="ACU17" s="582"/>
      <c r="ACV17" s="582"/>
      <c r="ACW17" s="582"/>
      <c r="ACX17" s="582"/>
      <c r="ACY17" s="582"/>
      <c r="ACZ17" s="582"/>
      <c r="ADA17" s="582"/>
      <c r="ADB17" s="582"/>
      <c r="ADC17" s="582"/>
      <c r="ADD17" s="582"/>
      <c r="ADE17" s="582"/>
      <c r="ADF17" s="582"/>
      <c r="ADG17" s="582"/>
      <c r="ADH17" s="582"/>
      <c r="ADI17" s="582"/>
      <c r="ADJ17" s="582"/>
      <c r="ADK17" s="582"/>
      <c r="ADL17" s="582"/>
      <c r="ADM17" s="582"/>
      <c r="ADN17" s="582"/>
      <c r="ADO17" s="582"/>
      <c r="ADP17" s="582"/>
      <c r="ADQ17" s="582"/>
      <c r="ADR17" s="582"/>
      <c r="ADS17" s="582"/>
      <c r="ADT17" s="582"/>
      <c r="ADU17" s="582"/>
      <c r="ADV17" s="582"/>
      <c r="ADW17" s="582"/>
      <c r="ADX17" s="582"/>
      <c r="ADY17" s="582"/>
      <c r="ADZ17" s="582"/>
      <c r="AEA17" s="582"/>
      <c r="AEB17" s="582"/>
      <c r="AEC17" s="582"/>
      <c r="AED17" s="582"/>
      <c r="AEE17" s="582"/>
      <c r="AEF17" s="582"/>
      <c r="AEG17" s="582"/>
      <c r="AEH17" s="582"/>
      <c r="AEI17" s="582"/>
      <c r="AEJ17" s="582"/>
      <c r="AEK17" s="582"/>
      <c r="AEL17" s="582"/>
      <c r="AEM17" s="582"/>
      <c r="AEN17" s="582"/>
      <c r="AEO17" s="582"/>
      <c r="AEP17" s="582"/>
      <c r="AEQ17" s="582"/>
      <c r="AER17" s="582"/>
      <c r="AES17" s="582"/>
      <c r="AET17" s="582"/>
      <c r="AEU17" s="582"/>
      <c r="AEV17" s="582"/>
      <c r="AEW17" s="582"/>
      <c r="AEX17" s="582"/>
      <c r="AEY17" s="582"/>
      <c r="AEZ17" s="582"/>
      <c r="AFA17" s="582"/>
      <c r="AFB17" s="582"/>
      <c r="AFC17" s="582"/>
      <c r="AFD17" s="582"/>
      <c r="AFE17" s="582"/>
      <c r="AFF17" s="582"/>
      <c r="AFG17" s="582"/>
      <c r="AFH17" s="582"/>
      <c r="AFI17" s="582"/>
      <c r="AFJ17" s="582"/>
      <c r="AFK17" s="582"/>
      <c r="AFL17" s="582"/>
      <c r="AFM17" s="582"/>
      <c r="AFN17" s="582"/>
      <c r="AFO17" s="582"/>
      <c r="AFP17" s="582"/>
      <c r="AFQ17" s="582"/>
      <c r="AFR17" s="582"/>
      <c r="AFS17" s="582"/>
      <c r="AFT17" s="582"/>
      <c r="AFU17" s="582"/>
      <c r="AFV17" s="582"/>
      <c r="AFW17" s="582"/>
      <c r="AFX17" s="582"/>
      <c r="AFY17" s="582"/>
      <c r="AFZ17" s="582"/>
      <c r="AGA17" s="582"/>
      <c r="AGB17" s="582"/>
      <c r="AGC17" s="582"/>
      <c r="AGD17" s="582"/>
      <c r="AGE17" s="582"/>
      <c r="AGF17" s="582"/>
      <c r="AGG17" s="582"/>
      <c r="AGH17" s="582"/>
      <c r="AGI17" s="582"/>
      <c r="AGJ17" s="582"/>
      <c r="AGK17" s="582"/>
      <c r="AGL17" s="582"/>
      <c r="AGM17" s="582"/>
      <c r="AGN17" s="582"/>
      <c r="AGO17" s="582"/>
      <c r="AGP17" s="582"/>
      <c r="AGQ17" s="582"/>
      <c r="AGR17" s="582"/>
      <c r="AGS17" s="582"/>
      <c r="AGT17" s="582"/>
      <c r="AGU17" s="582"/>
      <c r="AGV17" s="582"/>
      <c r="AGW17" s="582"/>
      <c r="AGX17" s="582"/>
      <c r="AGY17" s="582"/>
      <c r="AGZ17" s="582"/>
      <c r="AHA17" s="582"/>
      <c r="AHB17" s="582"/>
      <c r="AHC17" s="582"/>
      <c r="AHD17" s="582"/>
      <c r="AHE17" s="582"/>
      <c r="AHF17" s="582"/>
      <c r="AHG17" s="582"/>
      <c r="AHH17" s="582"/>
      <c r="AHI17" s="582"/>
      <c r="AHJ17" s="582"/>
      <c r="AHK17" s="582"/>
      <c r="AHL17" s="582"/>
      <c r="AHM17" s="582"/>
      <c r="AHN17" s="582"/>
      <c r="AHO17" s="582"/>
      <c r="AHP17" s="582"/>
      <c r="AHQ17" s="582"/>
      <c r="AHR17" s="582"/>
      <c r="AHS17" s="582"/>
      <c r="AHT17" s="582"/>
      <c r="AHU17" s="582"/>
      <c r="AHV17" s="582"/>
      <c r="AHW17" s="582"/>
      <c r="AHX17" s="582"/>
      <c r="AHY17" s="582"/>
      <c r="AHZ17" s="582"/>
      <c r="AIA17" s="582"/>
      <c r="AIB17" s="582"/>
      <c r="AIC17" s="582"/>
      <c r="AID17" s="582"/>
      <c r="AIE17" s="582"/>
      <c r="AIF17" s="582"/>
      <c r="AIG17" s="582"/>
      <c r="AIH17" s="582"/>
      <c r="AII17" s="582"/>
      <c r="AIJ17" s="582"/>
      <c r="AIK17" s="582"/>
      <c r="AIL17" s="582"/>
      <c r="AIM17" s="582"/>
      <c r="AIN17" s="582"/>
      <c r="AIO17" s="582"/>
      <c r="AIP17" s="582"/>
      <c r="AIQ17" s="582"/>
      <c r="AIR17" s="582"/>
      <c r="AIS17" s="582"/>
      <c r="AIT17" s="582"/>
      <c r="AIU17" s="582"/>
      <c r="AIV17" s="582"/>
      <c r="AIW17" s="582"/>
      <c r="AIX17" s="582"/>
      <c r="AIY17" s="582"/>
      <c r="AIZ17" s="582"/>
      <c r="AJA17" s="582"/>
      <c r="AJB17" s="582"/>
      <c r="AJC17" s="582"/>
      <c r="AJD17" s="582"/>
      <c r="AJE17" s="582"/>
      <c r="AJF17" s="582"/>
      <c r="AJG17" s="582"/>
      <c r="AJH17" s="582"/>
      <c r="AJI17" s="582"/>
      <c r="AJJ17" s="582"/>
      <c r="AJK17" s="582"/>
      <c r="AJL17" s="582"/>
      <c r="AJM17" s="582"/>
      <c r="AJN17" s="582"/>
      <c r="AJO17" s="582"/>
      <c r="AJP17" s="582"/>
      <c r="AJQ17" s="582"/>
      <c r="AJR17" s="582"/>
      <c r="AJS17" s="582"/>
      <c r="AJT17" s="582"/>
      <c r="AJU17" s="582"/>
      <c r="AJV17" s="582"/>
      <c r="AJW17" s="582"/>
      <c r="AJX17" s="582"/>
      <c r="AJY17" s="582"/>
      <c r="AJZ17" s="582"/>
      <c r="AKA17" s="582"/>
      <c r="AKB17" s="582"/>
      <c r="AKC17" s="582"/>
      <c r="AKD17" s="582"/>
      <c r="AKE17" s="582"/>
      <c r="AKF17" s="582"/>
      <c r="AKG17" s="582"/>
      <c r="AKH17" s="582"/>
      <c r="AKI17" s="582"/>
      <c r="AKJ17" s="582"/>
      <c r="AKK17" s="582"/>
      <c r="AKL17" s="582"/>
      <c r="AKM17" s="582"/>
      <c r="AKN17" s="582"/>
      <c r="AKO17" s="582"/>
      <c r="AKP17" s="582"/>
      <c r="AKQ17" s="582"/>
      <c r="AKR17" s="582"/>
      <c r="AKS17" s="582"/>
      <c r="AKT17" s="582"/>
      <c r="AKU17" s="582"/>
      <c r="AKV17" s="582"/>
      <c r="AKW17" s="582"/>
      <c r="AKX17" s="582"/>
      <c r="AKY17" s="582"/>
      <c r="AKZ17" s="582"/>
      <c r="ALA17" s="582"/>
      <c r="ALB17" s="582"/>
      <c r="ALC17" s="582"/>
      <c r="ALD17" s="582"/>
      <c r="ALE17" s="582"/>
      <c r="ALF17" s="582"/>
      <c r="ALG17" s="582"/>
      <c r="ALH17" s="582"/>
      <c r="ALI17" s="582"/>
      <c r="ALJ17" s="582"/>
      <c r="ALK17" s="582"/>
      <c r="ALL17" s="582"/>
      <c r="ALM17" s="582"/>
      <c r="ALN17" s="582"/>
      <c r="ALO17" s="582"/>
      <c r="ALP17" s="582"/>
      <c r="ALQ17" s="582"/>
      <c r="ALR17" s="582"/>
      <c r="ALS17" s="582"/>
      <c r="ALT17" s="582"/>
      <c r="ALU17" s="582"/>
      <c r="ALV17" s="582"/>
      <c r="ALW17" s="582"/>
      <c r="ALX17" s="582"/>
      <c r="ALY17" s="582"/>
      <c r="ALZ17" s="582"/>
      <c r="AMA17" s="582"/>
      <c r="AMB17" s="582"/>
      <c r="AMC17" s="582"/>
      <c r="AMD17" s="582"/>
      <c r="AME17" s="582"/>
      <c r="AMF17" s="582"/>
      <c r="AMG17" s="582"/>
      <c r="AMH17" s="582"/>
      <c r="AMI17" s="582"/>
      <c r="AMJ17" s="582"/>
      <c r="AMK17" s="582"/>
      <c r="AML17" s="582"/>
      <c r="AMM17" s="582"/>
      <c r="AMN17" s="582"/>
      <c r="AMO17" s="582"/>
      <c r="AMP17" s="582"/>
      <c r="AMQ17" s="582"/>
      <c r="AMR17" s="582"/>
      <c r="AMS17" s="582"/>
      <c r="AMT17" s="582"/>
      <c r="AMU17" s="582"/>
      <c r="AMV17" s="582"/>
      <c r="AMW17" s="582"/>
      <c r="AMX17" s="582"/>
      <c r="AMY17" s="582"/>
      <c r="AMZ17" s="582"/>
      <c r="ANA17" s="582"/>
      <c r="ANB17" s="582"/>
      <c r="ANC17" s="582"/>
      <c r="AND17" s="582"/>
      <c r="ANE17" s="582"/>
      <c r="ANF17" s="582"/>
      <c r="ANG17" s="582"/>
      <c r="ANH17" s="582"/>
      <c r="ANI17" s="582"/>
      <c r="ANJ17" s="582"/>
      <c r="ANK17" s="582"/>
      <c r="ANL17" s="582"/>
      <c r="ANM17" s="582"/>
      <c r="ANN17" s="582"/>
      <c r="ANO17" s="582"/>
      <c r="ANP17" s="582"/>
      <c r="ANQ17" s="582"/>
      <c r="ANR17" s="582"/>
      <c r="ANS17" s="582"/>
      <c r="ANT17" s="582"/>
      <c r="ANU17" s="582"/>
      <c r="ANV17" s="582"/>
      <c r="ANW17" s="582"/>
      <c r="ANX17" s="582"/>
      <c r="ANY17" s="582"/>
      <c r="ANZ17" s="582"/>
      <c r="AOA17" s="582"/>
      <c r="AOB17" s="582"/>
      <c r="AOC17" s="582"/>
      <c r="AOD17" s="582"/>
      <c r="AOE17" s="582"/>
      <c r="AOF17" s="582"/>
      <c r="AOG17" s="582"/>
      <c r="AOH17" s="582"/>
      <c r="AOI17" s="582"/>
      <c r="AOJ17" s="582"/>
      <c r="AOK17" s="582"/>
      <c r="AOL17" s="582"/>
      <c r="AOM17" s="582"/>
      <c r="AON17" s="582"/>
      <c r="AOO17" s="582"/>
      <c r="AOP17" s="582"/>
      <c r="AOQ17" s="582"/>
      <c r="AOR17" s="582"/>
      <c r="AOS17" s="582"/>
      <c r="AOT17" s="582"/>
      <c r="AOU17" s="582"/>
      <c r="AOV17" s="582"/>
      <c r="AOW17" s="582"/>
      <c r="AOX17" s="582"/>
      <c r="AOY17" s="582"/>
      <c r="AOZ17" s="582"/>
      <c r="APA17" s="582"/>
      <c r="APB17" s="582"/>
      <c r="APC17" s="582"/>
      <c r="APD17" s="582"/>
      <c r="APE17" s="582"/>
      <c r="APF17" s="582"/>
      <c r="APG17" s="582"/>
      <c r="APH17" s="582"/>
      <c r="API17" s="582"/>
      <c r="APJ17" s="582"/>
      <c r="APK17" s="582"/>
      <c r="APL17" s="582"/>
      <c r="APM17" s="582"/>
      <c r="APN17" s="582"/>
      <c r="APO17" s="582"/>
      <c r="APP17" s="582"/>
      <c r="APQ17" s="582"/>
      <c r="APR17" s="582"/>
      <c r="APS17" s="582"/>
      <c r="APT17" s="582"/>
      <c r="APU17" s="582"/>
      <c r="APV17" s="582"/>
      <c r="APW17" s="582"/>
      <c r="APX17" s="582"/>
      <c r="APY17" s="582"/>
      <c r="APZ17" s="582"/>
      <c r="AQA17" s="582"/>
      <c r="AQB17" s="582"/>
      <c r="AQC17" s="582"/>
      <c r="AQD17" s="582"/>
      <c r="AQE17" s="582"/>
      <c r="AQF17" s="582"/>
      <c r="AQG17" s="582"/>
      <c r="AQH17" s="582"/>
      <c r="AQI17" s="582"/>
      <c r="AQJ17" s="582"/>
      <c r="AQK17" s="582"/>
      <c r="AQL17" s="582"/>
      <c r="AQM17" s="582"/>
      <c r="AQN17" s="582"/>
      <c r="AQO17" s="582"/>
      <c r="AQP17" s="582"/>
      <c r="AQQ17" s="582"/>
      <c r="AQR17" s="582"/>
      <c r="AQS17" s="582"/>
      <c r="AQT17" s="582"/>
      <c r="AQU17" s="582"/>
      <c r="AQV17" s="582"/>
      <c r="AQW17" s="582"/>
      <c r="AQX17" s="582"/>
      <c r="AQY17" s="582"/>
      <c r="AQZ17" s="582"/>
      <c r="ARA17" s="582"/>
      <c r="ARB17" s="582"/>
      <c r="ARC17" s="582"/>
      <c r="ARD17" s="582"/>
      <c r="ARE17" s="582"/>
      <c r="ARF17" s="582"/>
      <c r="ARG17" s="582"/>
      <c r="ARH17" s="582"/>
      <c r="ARI17" s="582"/>
      <c r="ARJ17" s="582"/>
      <c r="ARK17" s="582"/>
      <c r="ARL17" s="582"/>
      <c r="ARM17" s="582"/>
      <c r="ARN17" s="582"/>
      <c r="ARO17" s="582"/>
      <c r="ARP17" s="582"/>
      <c r="ARQ17" s="582"/>
      <c r="ARR17" s="582"/>
      <c r="ARS17" s="582"/>
      <c r="ART17" s="582"/>
      <c r="ARU17" s="582"/>
      <c r="ARV17" s="582"/>
      <c r="ARW17" s="582"/>
      <c r="ARX17" s="582"/>
      <c r="ARY17" s="582"/>
      <c r="ARZ17" s="582"/>
      <c r="ASA17" s="582"/>
      <c r="ASB17" s="582"/>
      <c r="ASC17" s="582"/>
      <c r="ASD17" s="582"/>
      <c r="ASE17" s="582"/>
      <c r="ASF17" s="582"/>
      <c r="ASG17" s="582"/>
      <c r="ASH17" s="582"/>
      <c r="ASI17" s="582"/>
      <c r="ASJ17" s="582"/>
      <c r="ASK17" s="582"/>
      <c r="ASL17" s="582"/>
      <c r="ASM17" s="582"/>
      <c r="ASN17" s="582"/>
      <c r="ASO17" s="582"/>
      <c r="ASP17" s="582"/>
      <c r="ASQ17" s="582"/>
      <c r="ASR17" s="582"/>
      <c r="ASS17" s="582"/>
      <c r="AST17" s="582"/>
      <c r="ASU17" s="582"/>
      <c r="ASV17" s="582"/>
      <c r="ASW17" s="582"/>
      <c r="ASX17" s="582"/>
      <c r="ASY17" s="582"/>
      <c r="ASZ17" s="582"/>
      <c r="ATA17" s="582"/>
      <c r="ATB17" s="582"/>
      <c r="ATC17" s="582"/>
      <c r="ATD17" s="582"/>
      <c r="ATE17" s="582"/>
      <c r="ATF17" s="582"/>
      <c r="ATG17" s="582"/>
      <c r="ATH17" s="582"/>
      <c r="ATI17" s="582"/>
      <c r="ATJ17" s="582"/>
      <c r="ATK17" s="582"/>
      <c r="ATL17" s="582"/>
      <c r="ATM17" s="582"/>
      <c r="ATN17" s="582"/>
      <c r="ATO17" s="582"/>
      <c r="ATP17" s="582"/>
      <c r="ATQ17" s="582"/>
      <c r="ATR17" s="582"/>
      <c r="ATS17" s="582"/>
      <c r="ATT17" s="582"/>
      <c r="ATU17" s="582"/>
      <c r="ATV17" s="582"/>
      <c r="ATW17" s="582"/>
      <c r="ATX17" s="582"/>
      <c r="ATY17" s="582"/>
      <c r="ATZ17" s="582"/>
      <c r="AUA17" s="582"/>
      <c r="AUB17" s="582"/>
      <c r="AUC17" s="582"/>
      <c r="AUD17" s="582"/>
      <c r="AUE17" s="582"/>
      <c r="AUF17" s="582"/>
      <c r="AUG17" s="582"/>
      <c r="AUH17" s="582"/>
      <c r="AUI17" s="582"/>
      <c r="AUJ17" s="582"/>
      <c r="AUK17" s="582"/>
      <c r="AUL17" s="582"/>
      <c r="AUM17" s="582"/>
      <c r="AUN17" s="582"/>
      <c r="AUO17" s="582"/>
      <c r="AUP17" s="582"/>
      <c r="AUQ17" s="582"/>
      <c r="AUR17" s="582"/>
      <c r="AUS17" s="582"/>
      <c r="AUT17" s="582"/>
      <c r="AUU17" s="582"/>
      <c r="AUV17" s="582"/>
      <c r="AUW17" s="582"/>
      <c r="AUX17" s="582"/>
      <c r="AUY17" s="582"/>
      <c r="AUZ17" s="582"/>
      <c r="AVA17" s="582"/>
      <c r="AVB17" s="582"/>
      <c r="AVC17" s="582"/>
      <c r="AVD17" s="582"/>
      <c r="AVE17" s="582"/>
      <c r="AVF17" s="582"/>
      <c r="AVG17" s="582"/>
      <c r="AVH17" s="582"/>
      <c r="AVI17" s="582"/>
      <c r="AVJ17" s="582"/>
      <c r="AVK17" s="582"/>
      <c r="AVL17" s="582"/>
      <c r="AVM17" s="582"/>
      <c r="AVN17" s="582"/>
      <c r="AVO17" s="582"/>
      <c r="AVP17" s="582"/>
      <c r="AVQ17" s="582"/>
      <c r="AVR17" s="582"/>
      <c r="AVS17" s="582"/>
      <c r="AVT17" s="582"/>
      <c r="AVU17" s="582"/>
      <c r="AVV17" s="582"/>
      <c r="AVW17" s="582"/>
      <c r="AVX17" s="582"/>
      <c r="AVY17" s="582"/>
      <c r="AVZ17" s="582"/>
      <c r="AWA17" s="582"/>
      <c r="AWB17" s="582"/>
      <c r="AWC17" s="582"/>
      <c r="AWD17" s="582"/>
      <c r="AWE17" s="582"/>
      <c r="AWF17" s="582"/>
      <c r="AWG17" s="582"/>
      <c r="AWH17" s="582"/>
      <c r="AWI17" s="582"/>
      <c r="AWJ17" s="582"/>
      <c r="AWK17" s="582"/>
      <c r="AWL17" s="582"/>
      <c r="AWM17" s="582"/>
      <c r="AWN17" s="582"/>
      <c r="AWO17" s="582"/>
      <c r="AWP17" s="582"/>
      <c r="AWQ17" s="582"/>
      <c r="AWR17" s="582"/>
      <c r="AWS17" s="582"/>
      <c r="AWT17" s="582"/>
      <c r="AWU17" s="582"/>
      <c r="AWV17" s="582"/>
      <c r="AWW17" s="582"/>
      <c r="AWX17" s="582"/>
      <c r="AWY17" s="582"/>
      <c r="AWZ17" s="582"/>
      <c r="AXA17" s="582"/>
      <c r="AXB17" s="582"/>
      <c r="AXC17" s="582"/>
      <c r="AXD17" s="582"/>
      <c r="AXE17" s="582"/>
      <c r="AXF17" s="582"/>
      <c r="AXG17" s="582"/>
      <c r="AXH17" s="582"/>
      <c r="AXI17" s="582"/>
      <c r="AXJ17" s="582"/>
      <c r="AXK17" s="582"/>
      <c r="AXL17" s="582"/>
      <c r="AXM17" s="582"/>
      <c r="AXN17" s="582"/>
      <c r="AXO17" s="582"/>
      <c r="AXP17" s="582"/>
      <c r="AXQ17" s="582"/>
      <c r="AXR17" s="582"/>
      <c r="AXS17" s="582"/>
      <c r="AXT17" s="582"/>
      <c r="AXU17" s="582"/>
      <c r="AXV17" s="582"/>
      <c r="AXW17" s="582"/>
      <c r="AXX17" s="582"/>
      <c r="AXY17" s="582"/>
      <c r="AXZ17" s="582"/>
      <c r="AYA17" s="582"/>
      <c r="AYB17" s="582"/>
      <c r="AYC17" s="582"/>
      <c r="AYD17" s="582"/>
      <c r="AYE17" s="582"/>
      <c r="AYF17" s="582"/>
      <c r="AYG17" s="582"/>
      <c r="AYH17" s="582"/>
      <c r="AYI17" s="582"/>
      <c r="AYJ17" s="582"/>
      <c r="AYK17" s="582"/>
      <c r="AYL17" s="582"/>
      <c r="AYM17" s="582"/>
      <c r="AYN17" s="582"/>
      <c r="AYO17" s="582"/>
      <c r="AYP17" s="582"/>
      <c r="AYQ17" s="582"/>
      <c r="AYR17" s="582"/>
      <c r="AYS17" s="582"/>
      <c r="AYT17" s="582"/>
      <c r="AYU17" s="582"/>
      <c r="AYV17" s="582"/>
      <c r="AYW17" s="582"/>
      <c r="AYX17" s="582"/>
      <c r="AYY17" s="582"/>
      <c r="AYZ17" s="582"/>
      <c r="AZA17" s="582"/>
      <c r="AZB17" s="582"/>
      <c r="AZC17" s="582"/>
      <c r="AZD17" s="582"/>
      <c r="AZE17" s="582"/>
      <c r="AZF17" s="582"/>
      <c r="AZG17" s="582"/>
      <c r="AZH17" s="582"/>
      <c r="AZI17" s="582"/>
      <c r="AZJ17" s="582"/>
      <c r="AZK17" s="582"/>
      <c r="AZL17" s="582"/>
      <c r="AZM17" s="582"/>
      <c r="AZN17" s="582"/>
      <c r="AZO17" s="582"/>
      <c r="AZP17" s="582"/>
      <c r="AZQ17" s="582"/>
      <c r="AZR17" s="582"/>
      <c r="AZS17" s="582"/>
      <c r="AZT17" s="582"/>
      <c r="AZU17" s="582"/>
      <c r="AZV17" s="582"/>
      <c r="AZW17" s="582"/>
      <c r="AZX17" s="582"/>
      <c r="AZY17" s="582"/>
      <c r="AZZ17" s="582"/>
      <c r="BAA17" s="582"/>
      <c r="BAB17" s="582"/>
      <c r="BAC17" s="582"/>
      <c r="BAD17" s="582"/>
      <c r="BAE17" s="582"/>
      <c r="BAF17" s="582"/>
      <c r="BAG17" s="582"/>
      <c r="BAH17" s="582"/>
      <c r="BAI17" s="582"/>
      <c r="BAJ17" s="582"/>
      <c r="BAK17" s="582"/>
      <c r="BAL17" s="582"/>
      <c r="BAM17" s="582"/>
      <c r="BAN17" s="582"/>
      <c r="BAO17" s="582"/>
      <c r="BAP17" s="582"/>
      <c r="BAQ17" s="582"/>
      <c r="BAR17" s="582"/>
      <c r="BAS17" s="582"/>
      <c r="BAT17" s="582"/>
      <c r="BAU17" s="582"/>
      <c r="BAV17" s="582"/>
      <c r="BAW17" s="582"/>
      <c r="BAX17" s="582"/>
      <c r="BAY17" s="582"/>
      <c r="BAZ17" s="582"/>
      <c r="BBA17" s="582"/>
      <c r="BBB17" s="582"/>
      <c r="BBC17" s="582"/>
      <c r="BBD17" s="582"/>
      <c r="BBE17" s="582"/>
      <c r="BBF17" s="582"/>
      <c r="BBG17" s="582"/>
      <c r="BBH17" s="582"/>
      <c r="BBI17" s="582"/>
      <c r="BBJ17" s="582"/>
      <c r="BBK17" s="582"/>
      <c r="BBL17" s="582"/>
      <c r="BBM17" s="582"/>
      <c r="BBN17" s="582"/>
      <c r="BBO17" s="582"/>
      <c r="BBP17" s="582"/>
      <c r="BBQ17" s="582"/>
      <c r="BBR17" s="582"/>
      <c r="BBS17" s="582"/>
      <c r="BBT17" s="582"/>
      <c r="BBU17" s="582"/>
      <c r="BBV17" s="582"/>
      <c r="BBW17" s="582"/>
      <c r="BBX17" s="582"/>
      <c r="BBY17" s="582"/>
      <c r="BBZ17" s="582"/>
      <c r="BCA17" s="582"/>
      <c r="BCB17" s="582"/>
      <c r="BCC17" s="582"/>
      <c r="BCD17" s="582"/>
      <c r="BCE17" s="582"/>
      <c r="BCF17" s="582"/>
      <c r="BCG17" s="582"/>
      <c r="BCH17" s="582"/>
      <c r="BCI17" s="582"/>
      <c r="BCJ17" s="582"/>
      <c r="BCK17" s="582"/>
      <c r="BCL17" s="582"/>
      <c r="BCM17" s="582"/>
      <c r="BCN17" s="582"/>
      <c r="BCO17" s="582"/>
      <c r="BCP17" s="582"/>
      <c r="BCQ17" s="582"/>
      <c r="BCR17" s="582"/>
      <c r="BCS17" s="582"/>
      <c r="BCT17" s="582"/>
      <c r="BCU17" s="582"/>
      <c r="BCV17" s="582"/>
      <c r="BCW17" s="582"/>
      <c r="BCX17" s="582"/>
      <c r="BCY17" s="582"/>
      <c r="BCZ17" s="582"/>
      <c r="BDA17" s="582"/>
      <c r="BDB17" s="582"/>
      <c r="BDC17" s="582"/>
      <c r="BDD17" s="582"/>
      <c r="BDE17" s="582"/>
      <c r="BDF17" s="582"/>
      <c r="BDG17" s="582"/>
      <c r="BDH17" s="582"/>
      <c r="BDI17" s="582"/>
      <c r="BDJ17" s="582"/>
      <c r="BDK17" s="582"/>
      <c r="BDL17" s="582"/>
      <c r="BDM17" s="582"/>
      <c r="BDN17" s="582"/>
      <c r="BDO17" s="582"/>
      <c r="BDP17" s="582"/>
      <c r="BDQ17" s="582"/>
      <c r="BDR17" s="582"/>
      <c r="BDS17" s="582"/>
      <c r="BDT17" s="582"/>
      <c r="BDU17" s="582"/>
      <c r="BDV17" s="582"/>
      <c r="BDW17" s="582"/>
      <c r="BDX17" s="582"/>
      <c r="BDY17" s="582"/>
      <c r="BDZ17" s="582"/>
      <c r="BEA17" s="582"/>
      <c r="BEB17" s="582"/>
      <c r="BEC17" s="582"/>
      <c r="BED17" s="582"/>
      <c r="BEE17" s="582"/>
      <c r="BEF17" s="582"/>
      <c r="BEG17" s="582"/>
      <c r="BEH17" s="582"/>
      <c r="BEI17" s="582"/>
      <c r="BEJ17" s="582"/>
      <c r="BEK17" s="582"/>
      <c r="BEL17" s="582"/>
      <c r="BEM17" s="582"/>
      <c r="BEN17" s="582"/>
      <c r="BEO17" s="582"/>
      <c r="BEP17" s="582"/>
      <c r="BEQ17" s="582"/>
      <c r="BER17" s="582"/>
      <c r="BES17" s="582"/>
      <c r="BET17" s="582"/>
      <c r="BEU17" s="582"/>
      <c r="BEV17" s="582"/>
      <c r="BEW17" s="582"/>
      <c r="BEX17" s="582"/>
      <c r="BEY17" s="582"/>
      <c r="BEZ17" s="582"/>
      <c r="BFA17" s="582"/>
      <c r="BFB17" s="582"/>
      <c r="BFC17" s="582"/>
      <c r="BFD17" s="582"/>
      <c r="BFE17" s="582"/>
      <c r="BFF17" s="582"/>
      <c r="BFG17" s="582"/>
      <c r="BFH17" s="582"/>
      <c r="BFI17" s="582"/>
      <c r="BFJ17" s="582"/>
      <c r="BFK17" s="582"/>
      <c r="BFL17" s="582"/>
      <c r="BFM17" s="582"/>
      <c r="BFN17" s="582"/>
      <c r="BFO17" s="582"/>
      <c r="BFP17" s="582"/>
      <c r="BFQ17" s="582"/>
      <c r="BFR17" s="582"/>
      <c r="BFS17" s="582"/>
      <c r="BFT17" s="582"/>
      <c r="BFU17" s="582"/>
      <c r="BFV17" s="582"/>
      <c r="BFW17" s="582"/>
      <c r="BFX17" s="582"/>
      <c r="BFY17" s="582"/>
      <c r="BFZ17" s="582"/>
      <c r="BGA17" s="582"/>
      <c r="BGB17" s="582"/>
      <c r="BGC17" s="582"/>
      <c r="BGD17" s="582"/>
      <c r="BGE17" s="582"/>
      <c r="BGF17" s="582"/>
      <c r="BGG17" s="582"/>
      <c r="BGH17" s="582"/>
      <c r="BGI17" s="582"/>
      <c r="BGJ17" s="582"/>
      <c r="BGK17" s="582"/>
      <c r="BGL17" s="582"/>
      <c r="BGM17" s="582"/>
      <c r="BGN17" s="582"/>
      <c r="BGO17" s="582"/>
      <c r="BGP17" s="582"/>
      <c r="BGQ17" s="582"/>
      <c r="BGR17" s="582"/>
      <c r="BGS17" s="582"/>
      <c r="BGT17" s="582"/>
      <c r="BGU17" s="582"/>
      <c r="BGV17" s="582"/>
      <c r="BGW17" s="582"/>
      <c r="BGX17" s="582"/>
      <c r="BGY17" s="582"/>
      <c r="BGZ17" s="582"/>
      <c r="BHA17" s="582"/>
      <c r="BHB17" s="582"/>
      <c r="BHC17" s="582"/>
      <c r="BHD17" s="582"/>
      <c r="BHE17" s="582"/>
      <c r="BHF17" s="582"/>
      <c r="BHG17" s="582"/>
      <c r="BHH17" s="582"/>
      <c r="BHI17" s="582"/>
      <c r="BHJ17" s="582"/>
      <c r="BHK17" s="582"/>
      <c r="BHL17" s="582"/>
      <c r="BHM17" s="582"/>
      <c r="BHN17" s="582"/>
      <c r="BHO17" s="582"/>
      <c r="BHP17" s="582"/>
      <c r="BHQ17" s="582"/>
      <c r="BHR17" s="582"/>
      <c r="BHS17" s="582"/>
      <c r="BHT17" s="582"/>
      <c r="BHU17" s="582"/>
      <c r="BHV17" s="582"/>
      <c r="BHW17" s="582"/>
      <c r="BHX17" s="582"/>
      <c r="BHY17" s="582"/>
      <c r="BHZ17" s="582"/>
      <c r="BIA17" s="582"/>
      <c r="BIB17" s="582"/>
      <c r="BIC17" s="582"/>
      <c r="BID17" s="582"/>
      <c r="BIE17" s="582"/>
      <c r="BIF17" s="582"/>
      <c r="BIG17" s="582"/>
      <c r="BIH17" s="582"/>
      <c r="BII17" s="582"/>
      <c r="BIJ17" s="582"/>
      <c r="BIK17" s="582"/>
      <c r="BIL17" s="582"/>
      <c r="BIM17" s="582"/>
      <c r="BIN17" s="582"/>
      <c r="BIO17" s="582"/>
      <c r="BIP17" s="582"/>
      <c r="BIQ17" s="582"/>
      <c r="BIR17" s="582"/>
      <c r="BIS17" s="582"/>
      <c r="BIT17" s="582"/>
      <c r="BIU17" s="582"/>
      <c r="BIV17" s="582"/>
      <c r="BIW17" s="582"/>
      <c r="BIX17" s="582"/>
      <c r="BIY17" s="582"/>
      <c r="BIZ17" s="582"/>
      <c r="BJA17" s="582"/>
      <c r="BJB17" s="582"/>
      <c r="BJC17" s="582"/>
      <c r="BJD17" s="582"/>
      <c r="BJE17" s="582"/>
      <c r="BJF17" s="582"/>
      <c r="BJG17" s="582"/>
      <c r="BJH17" s="582"/>
      <c r="BJI17" s="582"/>
      <c r="BJJ17" s="582"/>
      <c r="BJK17" s="582"/>
      <c r="BJL17" s="582"/>
      <c r="BJM17" s="582"/>
      <c r="BJN17" s="582"/>
      <c r="BJO17" s="582"/>
      <c r="BJP17" s="582"/>
      <c r="BJQ17" s="582"/>
      <c r="BJR17" s="582"/>
      <c r="BJS17" s="582"/>
      <c r="BJT17" s="582"/>
      <c r="BJU17" s="582"/>
      <c r="BJV17" s="582"/>
      <c r="BJW17" s="582"/>
      <c r="BJX17" s="582"/>
      <c r="BJY17" s="582"/>
      <c r="BJZ17" s="582"/>
      <c r="BKA17" s="582"/>
      <c r="BKB17" s="582"/>
      <c r="BKC17" s="582"/>
      <c r="BKD17" s="582"/>
      <c r="BKE17" s="582"/>
      <c r="BKF17" s="582"/>
      <c r="BKG17" s="582"/>
      <c r="BKH17" s="582"/>
      <c r="BKI17" s="582"/>
      <c r="BKJ17" s="582"/>
      <c r="BKK17" s="582"/>
      <c r="BKL17" s="582"/>
      <c r="BKM17" s="582"/>
      <c r="BKN17" s="582"/>
      <c r="BKO17" s="582"/>
      <c r="BKP17" s="582"/>
      <c r="BKQ17" s="582"/>
      <c r="BKR17" s="582"/>
      <c r="BKS17" s="582"/>
      <c r="BKT17" s="582"/>
      <c r="BKU17" s="582"/>
      <c r="BKV17" s="582"/>
      <c r="BKW17" s="582"/>
      <c r="BKX17" s="582"/>
      <c r="BKY17" s="582"/>
      <c r="BKZ17" s="582"/>
      <c r="BLA17" s="582"/>
      <c r="BLB17" s="582"/>
      <c r="BLC17" s="582"/>
      <c r="BLD17" s="582"/>
      <c r="BLE17" s="582"/>
      <c r="BLF17" s="582"/>
      <c r="BLG17" s="582"/>
      <c r="BLH17" s="582"/>
      <c r="BLI17" s="582"/>
      <c r="BLJ17" s="582"/>
      <c r="BLK17" s="582"/>
      <c r="BLL17" s="582"/>
      <c r="BLM17" s="582"/>
      <c r="BLN17" s="582"/>
      <c r="BLO17" s="582"/>
      <c r="BLP17" s="582"/>
      <c r="BLQ17" s="582"/>
      <c r="BLR17" s="582"/>
      <c r="BLS17" s="582"/>
      <c r="BLT17" s="582"/>
      <c r="BLU17" s="582"/>
      <c r="BLV17" s="582"/>
      <c r="BLW17" s="582"/>
      <c r="BLX17" s="582"/>
      <c r="BLY17" s="582"/>
      <c r="BLZ17" s="582"/>
      <c r="BMA17" s="582"/>
      <c r="BMB17" s="582"/>
      <c r="BMC17" s="582"/>
      <c r="BMD17" s="582"/>
      <c r="BME17" s="582"/>
      <c r="BMF17" s="582"/>
      <c r="BMG17" s="582"/>
      <c r="BMH17" s="582"/>
      <c r="BMI17" s="582"/>
      <c r="BMJ17" s="582"/>
      <c r="BMK17" s="582"/>
      <c r="BML17" s="582"/>
      <c r="BMM17" s="582"/>
      <c r="BMN17" s="582"/>
      <c r="BMO17" s="582"/>
      <c r="BMP17" s="582"/>
      <c r="BMQ17" s="582"/>
      <c r="BMR17" s="582"/>
      <c r="BMS17" s="582"/>
      <c r="BMT17" s="582"/>
      <c r="BMU17" s="582"/>
      <c r="BMV17" s="582"/>
      <c r="BMW17" s="582"/>
      <c r="BMX17" s="582"/>
      <c r="BMY17" s="582"/>
      <c r="BMZ17" s="582"/>
      <c r="BNA17" s="582"/>
      <c r="BNB17" s="582"/>
      <c r="BNC17" s="582"/>
      <c r="BND17" s="582"/>
      <c r="BNE17" s="582"/>
      <c r="BNF17" s="582"/>
      <c r="BNG17" s="582"/>
      <c r="BNH17" s="582"/>
      <c r="BNI17" s="582"/>
      <c r="BNJ17" s="582"/>
      <c r="BNK17" s="582"/>
      <c r="BNL17" s="582"/>
      <c r="BNM17" s="582"/>
      <c r="BNN17" s="582"/>
      <c r="BNO17" s="582"/>
      <c r="BNP17" s="582"/>
      <c r="BNQ17" s="582"/>
      <c r="BNR17" s="582"/>
      <c r="BNS17" s="582"/>
      <c r="BNT17" s="582"/>
      <c r="BNU17" s="582"/>
      <c r="BNV17" s="582"/>
      <c r="BNW17" s="582"/>
      <c r="BNX17" s="582"/>
      <c r="BNY17" s="582"/>
      <c r="BNZ17" s="582"/>
      <c r="BOA17" s="582"/>
      <c r="BOB17" s="582"/>
      <c r="BOC17" s="582"/>
      <c r="BOD17" s="582"/>
      <c r="BOE17" s="582"/>
      <c r="BOF17" s="582"/>
      <c r="BOG17" s="582"/>
      <c r="BOH17" s="582"/>
      <c r="BOI17" s="582"/>
      <c r="BOJ17" s="582"/>
      <c r="BOK17" s="582"/>
      <c r="BOL17" s="582"/>
      <c r="BOM17" s="582"/>
      <c r="BON17" s="582"/>
      <c r="BOO17" s="582"/>
      <c r="BOP17" s="582"/>
      <c r="BOQ17" s="582"/>
      <c r="BOR17" s="582"/>
      <c r="BOS17" s="582"/>
      <c r="BOT17" s="582"/>
      <c r="BOU17" s="582"/>
      <c r="BOV17" s="582"/>
      <c r="BOW17" s="582"/>
      <c r="BOX17" s="582"/>
      <c r="BOY17" s="582"/>
      <c r="BOZ17" s="582"/>
      <c r="BPA17" s="582"/>
      <c r="BPB17" s="582"/>
      <c r="BPC17" s="582"/>
      <c r="BPD17" s="582"/>
      <c r="BPE17" s="582"/>
      <c r="BPF17" s="582"/>
      <c r="BPG17" s="582"/>
      <c r="BPH17" s="582"/>
      <c r="BPI17" s="582"/>
      <c r="BPJ17" s="582"/>
      <c r="BPK17" s="582"/>
      <c r="BPL17" s="582"/>
      <c r="BPM17" s="582"/>
      <c r="BPN17" s="582"/>
      <c r="BPO17" s="582"/>
      <c r="BPP17" s="582"/>
      <c r="BPQ17" s="582"/>
      <c r="BPR17" s="582"/>
      <c r="BPS17" s="582"/>
      <c r="BPT17" s="582"/>
      <c r="BPU17" s="582"/>
      <c r="BPV17" s="582"/>
      <c r="BPW17" s="582"/>
      <c r="BPX17" s="582"/>
      <c r="BPY17" s="582"/>
      <c r="BPZ17" s="582"/>
      <c r="BQA17" s="582"/>
      <c r="BQB17" s="582"/>
      <c r="BQC17" s="582"/>
      <c r="BQD17" s="582"/>
      <c r="BQE17" s="582"/>
      <c r="BQF17" s="582"/>
      <c r="BQG17" s="582"/>
      <c r="BQH17" s="582"/>
      <c r="BQI17" s="582"/>
      <c r="BQJ17" s="582"/>
      <c r="BQK17" s="582"/>
      <c r="BQL17" s="582"/>
      <c r="BQM17" s="582"/>
      <c r="BQN17" s="582"/>
      <c r="BQO17" s="582"/>
      <c r="BQP17" s="582"/>
      <c r="BQQ17" s="582"/>
      <c r="BQR17" s="582"/>
      <c r="BQS17" s="582"/>
      <c r="BQT17" s="582"/>
      <c r="BQU17" s="582"/>
      <c r="BQV17" s="582"/>
      <c r="BQW17" s="582"/>
      <c r="BQX17" s="582"/>
      <c r="BQY17" s="582"/>
      <c r="BQZ17" s="582"/>
      <c r="BRA17" s="582"/>
      <c r="BRB17" s="582"/>
      <c r="BRC17" s="582"/>
      <c r="BRD17" s="582"/>
      <c r="BRE17" s="582"/>
      <c r="BRF17" s="582"/>
      <c r="BRG17" s="582"/>
      <c r="BRH17" s="582"/>
      <c r="BRI17" s="582"/>
      <c r="BRJ17" s="582"/>
      <c r="BRK17" s="582"/>
      <c r="BRL17" s="582"/>
      <c r="BRM17" s="582"/>
      <c r="BRN17" s="582"/>
      <c r="BRO17" s="582"/>
      <c r="BRP17" s="582"/>
      <c r="BRQ17" s="582"/>
      <c r="BRR17" s="582"/>
      <c r="BRS17" s="582"/>
      <c r="BRT17" s="582"/>
      <c r="BRU17" s="582"/>
      <c r="BRV17" s="582"/>
      <c r="BRW17" s="582"/>
      <c r="BRX17" s="582"/>
      <c r="BRY17" s="582"/>
      <c r="BRZ17" s="582"/>
      <c r="BSA17" s="582"/>
      <c r="BSB17" s="582"/>
      <c r="BSC17" s="582"/>
      <c r="BSD17" s="582"/>
      <c r="BSE17" s="582"/>
      <c r="BSF17" s="582"/>
      <c r="BSG17" s="582"/>
      <c r="BSH17" s="582"/>
      <c r="BSI17" s="582"/>
      <c r="BSJ17" s="582"/>
      <c r="BSK17" s="582"/>
      <c r="BSL17" s="582"/>
      <c r="BSM17" s="582"/>
      <c r="BSN17" s="582"/>
      <c r="BSO17" s="582"/>
      <c r="BSP17" s="582"/>
      <c r="BSQ17" s="582"/>
      <c r="BSR17" s="582"/>
      <c r="BSS17" s="582"/>
      <c r="BST17" s="582"/>
      <c r="BSU17" s="582"/>
      <c r="BSV17" s="582"/>
      <c r="BSW17" s="582"/>
      <c r="BSX17" s="582"/>
      <c r="BSY17" s="582"/>
      <c r="BSZ17" s="582"/>
      <c r="BTA17" s="582"/>
      <c r="BTB17" s="582"/>
      <c r="BTC17" s="582"/>
      <c r="BTD17" s="582"/>
      <c r="BTE17" s="582"/>
      <c r="BTF17" s="582"/>
      <c r="BTG17" s="582"/>
      <c r="BTH17" s="582"/>
      <c r="BTI17" s="582"/>
      <c r="BTJ17" s="582"/>
      <c r="BTK17" s="582"/>
      <c r="BTL17" s="582"/>
      <c r="BTM17" s="582"/>
      <c r="BTN17" s="582"/>
      <c r="BTO17" s="582"/>
      <c r="BTP17" s="582"/>
      <c r="BTQ17" s="582"/>
      <c r="BTR17" s="582"/>
      <c r="BTS17" s="582"/>
      <c r="BTT17" s="582"/>
      <c r="BTU17" s="582"/>
      <c r="BTV17" s="582"/>
      <c r="BTW17" s="582"/>
      <c r="BTX17" s="582"/>
      <c r="BTY17" s="582"/>
      <c r="BTZ17" s="582"/>
      <c r="BUA17" s="582"/>
      <c r="BUB17" s="582"/>
      <c r="BUC17" s="582"/>
      <c r="BUD17" s="582"/>
      <c r="BUE17" s="582"/>
      <c r="BUF17" s="582"/>
      <c r="BUG17" s="582"/>
      <c r="BUH17" s="582"/>
      <c r="BUI17" s="582"/>
      <c r="BUJ17" s="582"/>
      <c r="BUK17" s="582"/>
      <c r="BUL17" s="582"/>
      <c r="BUM17" s="582"/>
      <c r="BUN17" s="582"/>
      <c r="BUO17" s="582"/>
      <c r="BUP17" s="582"/>
      <c r="BUQ17" s="582"/>
      <c r="BUR17" s="582"/>
      <c r="BUS17" s="582"/>
      <c r="BUT17" s="582"/>
      <c r="BUU17" s="582"/>
      <c r="BUV17" s="582"/>
      <c r="BUW17" s="582"/>
      <c r="BUX17" s="582"/>
      <c r="BUY17" s="582"/>
      <c r="BUZ17" s="582"/>
      <c r="BVA17" s="582"/>
      <c r="BVB17" s="582"/>
      <c r="BVC17" s="582"/>
      <c r="BVD17" s="582"/>
      <c r="BVE17" s="582"/>
      <c r="BVF17" s="582"/>
      <c r="BVG17" s="582"/>
      <c r="BVH17" s="582"/>
      <c r="BVI17" s="582"/>
      <c r="BVJ17" s="582"/>
      <c r="BVK17" s="582"/>
      <c r="BVL17" s="582"/>
      <c r="BVM17" s="582"/>
      <c r="BVN17" s="582"/>
      <c r="BVO17" s="582"/>
      <c r="BVP17" s="582"/>
      <c r="BVQ17" s="582"/>
      <c r="BVR17" s="582"/>
      <c r="BVS17" s="582"/>
      <c r="BVT17" s="582"/>
      <c r="BVU17" s="582"/>
      <c r="BVV17" s="582"/>
      <c r="BVW17" s="582"/>
      <c r="BVX17" s="582"/>
      <c r="BVY17" s="582"/>
      <c r="BVZ17" s="582"/>
      <c r="BWA17" s="582"/>
      <c r="BWB17" s="582"/>
      <c r="BWC17" s="582"/>
      <c r="BWD17" s="582"/>
      <c r="BWE17" s="582"/>
      <c r="BWF17" s="582"/>
      <c r="BWG17" s="582"/>
      <c r="BWH17" s="582"/>
      <c r="BWI17" s="582"/>
      <c r="BWJ17" s="582"/>
      <c r="BWK17" s="582"/>
      <c r="BWL17" s="582"/>
      <c r="BWM17" s="582"/>
      <c r="BWN17" s="582"/>
      <c r="BWO17" s="582"/>
      <c r="BWP17" s="582"/>
      <c r="BWQ17" s="582"/>
      <c r="BWR17" s="582"/>
      <c r="BWS17" s="582"/>
      <c r="BWT17" s="582"/>
      <c r="BWU17" s="582"/>
      <c r="BWV17" s="582"/>
      <c r="BWW17" s="582"/>
      <c r="BWX17" s="582"/>
      <c r="BWY17" s="582"/>
      <c r="BWZ17" s="582"/>
      <c r="BXA17" s="582"/>
      <c r="BXB17" s="582"/>
      <c r="BXC17" s="582"/>
      <c r="BXD17" s="582"/>
      <c r="BXE17" s="582"/>
      <c r="BXF17" s="582"/>
      <c r="BXG17" s="582"/>
      <c r="BXH17" s="582"/>
      <c r="BXI17" s="582"/>
      <c r="BXJ17" s="582"/>
      <c r="BXK17" s="582"/>
      <c r="BXL17" s="582"/>
      <c r="BXM17" s="582"/>
      <c r="BXN17" s="582"/>
      <c r="BXO17" s="582"/>
      <c r="BXP17" s="582"/>
      <c r="BXQ17" s="582"/>
      <c r="BXR17" s="582"/>
      <c r="BXS17" s="582"/>
      <c r="BXT17" s="582"/>
      <c r="BXU17" s="582"/>
      <c r="BXV17" s="582"/>
      <c r="BXW17" s="582"/>
      <c r="BXX17" s="582"/>
      <c r="BXY17" s="582"/>
      <c r="BXZ17" s="582"/>
      <c r="BYA17" s="582"/>
      <c r="BYB17" s="582"/>
      <c r="BYC17" s="582"/>
      <c r="BYD17" s="582"/>
      <c r="BYE17" s="582"/>
      <c r="BYF17" s="582"/>
      <c r="BYG17" s="582"/>
      <c r="BYH17" s="582"/>
      <c r="BYI17" s="582"/>
      <c r="BYJ17" s="582"/>
      <c r="BYK17" s="582"/>
      <c r="BYL17" s="582"/>
      <c r="BYM17" s="582"/>
      <c r="BYN17" s="582"/>
      <c r="BYO17" s="582"/>
      <c r="BYP17" s="582"/>
      <c r="BYQ17" s="582"/>
      <c r="BYR17" s="582"/>
      <c r="BYS17" s="582"/>
      <c r="BYT17" s="582"/>
      <c r="BYU17" s="582"/>
      <c r="BYV17" s="582"/>
      <c r="BYW17" s="582"/>
      <c r="BYX17" s="582"/>
      <c r="BYY17" s="582"/>
      <c r="BYZ17" s="582"/>
      <c r="BZA17" s="582"/>
      <c r="BZB17" s="582"/>
      <c r="BZC17" s="582"/>
      <c r="BZD17" s="582"/>
      <c r="BZE17" s="582"/>
      <c r="BZF17" s="582"/>
      <c r="BZG17" s="582"/>
      <c r="BZH17" s="582"/>
      <c r="BZI17" s="582"/>
      <c r="BZJ17" s="582"/>
      <c r="BZK17" s="582"/>
      <c r="BZL17" s="582"/>
      <c r="BZM17" s="582"/>
      <c r="BZN17" s="582"/>
      <c r="BZO17" s="582"/>
      <c r="BZP17" s="582"/>
      <c r="BZQ17" s="582"/>
      <c r="BZR17" s="582"/>
      <c r="BZS17" s="582"/>
      <c r="BZT17" s="582"/>
      <c r="BZU17" s="582"/>
      <c r="BZV17" s="582"/>
      <c r="BZW17" s="582"/>
      <c r="BZX17" s="582"/>
      <c r="BZY17" s="582"/>
      <c r="BZZ17" s="582"/>
      <c r="CAA17" s="582"/>
      <c r="CAB17" s="582"/>
      <c r="CAC17" s="582"/>
      <c r="CAD17" s="582"/>
      <c r="CAE17" s="582"/>
      <c r="CAF17" s="582"/>
      <c r="CAG17" s="582"/>
      <c r="CAH17" s="582"/>
      <c r="CAI17" s="582"/>
      <c r="CAJ17" s="582"/>
      <c r="CAK17" s="582"/>
      <c r="CAL17" s="582"/>
      <c r="CAM17" s="582"/>
      <c r="CAN17" s="582"/>
      <c r="CAO17" s="582"/>
      <c r="CAP17" s="582"/>
      <c r="CAQ17" s="582"/>
      <c r="CAR17" s="582"/>
      <c r="CAS17" s="582"/>
      <c r="CAT17" s="582"/>
      <c r="CAU17" s="582"/>
      <c r="CAV17" s="582"/>
      <c r="CAW17" s="582"/>
      <c r="CAX17" s="582"/>
      <c r="CAY17" s="582"/>
      <c r="CAZ17" s="582"/>
      <c r="CBA17" s="582"/>
      <c r="CBB17" s="582"/>
      <c r="CBC17" s="582"/>
      <c r="CBD17" s="582"/>
      <c r="CBE17" s="582"/>
      <c r="CBF17" s="582"/>
      <c r="CBG17" s="582"/>
      <c r="CBH17" s="582"/>
      <c r="CBI17" s="582"/>
      <c r="CBJ17" s="582"/>
      <c r="CBK17" s="582"/>
      <c r="CBL17" s="582"/>
      <c r="CBM17" s="582"/>
      <c r="CBN17" s="582"/>
      <c r="CBO17" s="582"/>
      <c r="CBP17" s="582"/>
      <c r="CBQ17" s="582"/>
      <c r="CBR17" s="582"/>
      <c r="CBS17" s="582"/>
      <c r="CBT17" s="582"/>
      <c r="CBU17" s="582"/>
      <c r="CBV17" s="582"/>
      <c r="CBW17" s="582"/>
      <c r="CBX17" s="582"/>
      <c r="CBY17" s="582"/>
      <c r="CBZ17" s="582"/>
      <c r="CCA17" s="582"/>
      <c r="CCB17" s="582"/>
      <c r="CCC17" s="582"/>
      <c r="CCD17" s="582"/>
      <c r="CCE17" s="582"/>
      <c r="CCF17" s="582"/>
      <c r="CCG17" s="582"/>
      <c r="CCH17" s="582"/>
      <c r="CCI17" s="582"/>
      <c r="CCJ17" s="582"/>
      <c r="CCK17" s="582"/>
      <c r="CCL17" s="582"/>
      <c r="CCM17" s="582"/>
      <c r="CCN17" s="582"/>
      <c r="CCO17" s="582"/>
      <c r="CCP17" s="582"/>
      <c r="CCQ17" s="582"/>
      <c r="CCR17" s="582"/>
      <c r="CCS17" s="582"/>
      <c r="CCT17" s="582"/>
      <c r="CCU17" s="582"/>
      <c r="CCV17" s="582"/>
      <c r="CCW17" s="582"/>
      <c r="CCX17" s="582"/>
      <c r="CCY17" s="582"/>
      <c r="CCZ17" s="582"/>
      <c r="CDA17" s="582"/>
      <c r="CDB17" s="582"/>
      <c r="CDC17" s="582"/>
      <c r="CDD17" s="582"/>
      <c r="CDE17" s="582"/>
      <c r="CDF17" s="582"/>
      <c r="CDG17" s="582"/>
      <c r="CDH17" s="582"/>
      <c r="CDI17" s="582"/>
      <c r="CDJ17" s="582"/>
      <c r="CDK17" s="582"/>
      <c r="CDL17" s="582"/>
      <c r="CDM17" s="582"/>
      <c r="CDN17" s="582"/>
      <c r="CDO17" s="582"/>
      <c r="CDP17" s="582"/>
      <c r="CDQ17" s="582"/>
      <c r="CDR17" s="582"/>
      <c r="CDS17" s="582"/>
      <c r="CDT17" s="582"/>
      <c r="CDU17" s="582"/>
      <c r="CDV17" s="582"/>
      <c r="CDW17" s="582"/>
      <c r="CDX17" s="582"/>
      <c r="CDY17" s="582"/>
      <c r="CDZ17" s="582"/>
      <c r="CEA17" s="582"/>
      <c r="CEB17" s="582"/>
      <c r="CEC17" s="582"/>
      <c r="CED17" s="582"/>
      <c r="CEE17" s="582"/>
      <c r="CEF17" s="582"/>
      <c r="CEG17" s="582"/>
      <c r="CEH17" s="582"/>
      <c r="CEI17" s="582"/>
      <c r="CEJ17" s="582"/>
      <c r="CEK17" s="582"/>
      <c r="CEL17" s="582"/>
      <c r="CEM17" s="582"/>
      <c r="CEN17" s="582"/>
      <c r="CEO17" s="582"/>
      <c r="CEP17" s="582"/>
      <c r="CEQ17" s="582"/>
      <c r="CER17" s="582"/>
      <c r="CES17" s="582"/>
      <c r="CET17" s="582"/>
      <c r="CEU17" s="582"/>
      <c r="CEV17" s="582"/>
      <c r="CEW17" s="582"/>
      <c r="CEX17" s="582"/>
      <c r="CEY17" s="582"/>
      <c r="CEZ17" s="582"/>
      <c r="CFA17" s="582"/>
      <c r="CFB17" s="582"/>
      <c r="CFC17" s="582"/>
      <c r="CFD17" s="582"/>
      <c r="CFE17" s="582"/>
      <c r="CFF17" s="582"/>
      <c r="CFG17" s="582"/>
      <c r="CFH17" s="582"/>
      <c r="CFI17" s="582"/>
      <c r="CFJ17" s="582"/>
      <c r="CFK17" s="582"/>
      <c r="CFL17" s="582"/>
      <c r="CFM17" s="582"/>
      <c r="CFN17" s="582"/>
      <c r="CFO17" s="582"/>
      <c r="CFP17" s="582"/>
      <c r="CFQ17" s="582"/>
      <c r="CFR17" s="582"/>
      <c r="CFS17" s="582"/>
      <c r="CFT17" s="582"/>
      <c r="CFU17" s="582"/>
      <c r="CFV17" s="582"/>
      <c r="CFW17" s="582"/>
      <c r="CFX17" s="582"/>
      <c r="CFY17" s="582"/>
      <c r="CFZ17" s="582"/>
      <c r="CGA17" s="582"/>
      <c r="CGB17" s="582"/>
      <c r="CGC17" s="582"/>
      <c r="CGD17" s="582"/>
      <c r="CGE17" s="582"/>
      <c r="CGF17" s="582"/>
      <c r="CGG17" s="582"/>
      <c r="CGH17" s="582"/>
      <c r="CGI17" s="582"/>
      <c r="CGJ17" s="582"/>
      <c r="CGK17" s="582"/>
      <c r="CGL17" s="582"/>
      <c r="CGM17" s="582"/>
      <c r="CGN17" s="582"/>
      <c r="CGO17" s="582"/>
      <c r="CGP17" s="582"/>
      <c r="CGQ17" s="582"/>
      <c r="CGR17" s="582"/>
      <c r="CGS17" s="582"/>
      <c r="CGT17" s="582"/>
      <c r="CGU17" s="582"/>
      <c r="CGV17" s="582"/>
      <c r="CGW17" s="582"/>
      <c r="CGX17" s="582"/>
      <c r="CGY17" s="582"/>
      <c r="CGZ17" s="582"/>
      <c r="CHA17" s="582"/>
      <c r="CHB17" s="582"/>
      <c r="CHC17" s="582"/>
      <c r="CHD17" s="582"/>
      <c r="CHE17" s="582"/>
      <c r="CHF17" s="582"/>
      <c r="CHG17" s="582"/>
      <c r="CHH17" s="582"/>
      <c r="CHI17" s="582"/>
      <c r="CHJ17" s="582"/>
      <c r="CHK17" s="582"/>
      <c r="CHL17" s="582"/>
      <c r="CHM17" s="582"/>
      <c r="CHN17" s="582"/>
      <c r="CHO17" s="582"/>
      <c r="CHP17" s="582"/>
      <c r="CHQ17" s="582"/>
      <c r="CHR17" s="582"/>
      <c r="CHS17" s="582"/>
      <c r="CHT17" s="582"/>
      <c r="CHU17" s="582"/>
      <c r="CHV17" s="582"/>
      <c r="CHW17" s="582"/>
      <c r="CHX17" s="582"/>
      <c r="CHY17" s="582"/>
      <c r="CHZ17" s="582"/>
      <c r="CIA17" s="582"/>
      <c r="CIB17" s="582"/>
      <c r="CIC17" s="582"/>
      <c r="CID17" s="582"/>
      <c r="CIE17" s="582"/>
      <c r="CIF17" s="582"/>
      <c r="CIG17" s="582"/>
      <c r="CIH17" s="582"/>
      <c r="CII17" s="582"/>
      <c r="CIJ17" s="582"/>
      <c r="CIK17" s="582"/>
      <c r="CIL17" s="582"/>
      <c r="CIM17" s="582"/>
      <c r="CIN17" s="582"/>
      <c r="CIO17" s="582"/>
      <c r="CIP17" s="582"/>
      <c r="CIQ17" s="582"/>
      <c r="CIR17" s="582"/>
      <c r="CIS17" s="582"/>
      <c r="CIT17" s="582"/>
      <c r="CIU17" s="582"/>
      <c r="CIV17" s="582"/>
      <c r="CIW17" s="582"/>
      <c r="CIX17" s="582"/>
      <c r="CIY17" s="582"/>
      <c r="CIZ17" s="582"/>
      <c r="CJA17" s="582"/>
      <c r="CJB17" s="582"/>
      <c r="CJC17" s="582"/>
      <c r="CJD17" s="582"/>
      <c r="CJE17" s="582"/>
      <c r="CJF17" s="582"/>
      <c r="CJG17" s="582"/>
      <c r="CJH17" s="582"/>
      <c r="CJI17" s="582"/>
      <c r="CJJ17" s="582"/>
      <c r="CJK17" s="582"/>
      <c r="CJL17" s="582"/>
      <c r="CJM17" s="582"/>
      <c r="CJN17" s="582"/>
      <c r="CJO17" s="582"/>
      <c r="CJP17" s="582"/>
      <c r="CJQ17" s="582"/>
      <c r="CJR17" s="582"/>
      <c r="CJS17" s="582"/>
      <c r="CJT17" s="582"/>
      <c r="CJU17" s="582"/>
      <c r="CJV17" s="582"/>
      <c r="CJW17" s="582"/>
      <c r="CJX17" s="582"/>
      <c r="CJY17" s="582"/>
      <c r="CJZ17" s="582"/>
      <c r="CKA17" s="582"/>
      <c r="CKB17" s="582"/>
      <c r="CKC17" s="582"/>
      <c r="CKD17" s="582"/>
      <c r="CKE17" s="582"/>
      <c r="CKF17" s="582"/>
      <c r="CKG17" s="582"/>
      <c r="CKH17" s="582"/>
      <c r="CKI17" s="582"/>
      <c r="CKJ17" s="582"/>
      <c r="CKK17" s="582"/>
      <c r="CKL17" s="582"/>
      <c r="CKM17" s="582"/>
      <c r="CKN17" s="582"/>
      <c r="CKO17" s="582"/>
      <c r="CKP17" s="582"/>
      <c r="CKQ17" s="582"/>
      <c r="CKR17" s="582"/>
      <c r="CKS17" s="582"/>
      <c r="CKT17" s="582"/>
      <c r="CKU17" s="582"/>
      <c r="CKV17" s="582"/>
      <c r="CKW17" s="582"/>
      <c r="CKX17" s="582"/>
      <c r="CKY17" s="582"/>
      <c r="CKZ17" s="582"/>
      <c r="CLA17" s="582"/>
      <c r="CLB17" s="582"/>
      <c r="CLC17" s="582"/>
      <c r="CLD17" s="582"/>
      <c r="CLE17" s="582"/>
      <c r="CLF17" s="582"/>
      <c r="CLG17" s="582"/>
      <c r="CLH17" s="582"/>
      <c r="CLI17" s="582"/>
      <c r="CLJ17" s="582"/>
      <c r="CLK17" s="582"/>
      <c r="CLL17" s="582"/>
      <c r="CLM17" s="582"/>
      <c r="CLN17" s="582"/>
      <c r="CLO17" s="582"/>
      <c r="CLP17" s="582"/>
      <c r="CLQ17" s="582"/>
      <c r="CLR17" s="582"/>
      <c r="CLS17" s="582"/>
      <c r="CLT17" s="582"/>
      <c r="CLU17" s="582"/>
      <c r="CLV17" s="582"/>
      <c r="CLW17" s="582"/>
      <c r="CLX17" s="582"/>
      <c r="CLY17" s="582"/>
      <c r="CLZ17" s="582"/>
      <c r="CMA17" s="582"/>
      <c r="CMB17" s="582"/>
      <c r="CMC17" s="582"/>
      <c r="CMD17" s="582"/>
      <c r="CME17" s="582"/>
      <c r="CMF17" s="582"/>
      <c r="CMG17" s="582"/>
      <c r="CMH17" s="582"/>
      <c r="CMI17" s="582"/>
      <c r="CMJ17" s="582"/>
      <c r="CMK17" s="582"/>
      <c r="CML17" s="582"/>
      <c r="CMM17" s="582"/>
      <c r="CMN17" s="582"/>
      <c r="CMO17" s="582"/>
      <c r="CMP17" s="582"/>
      <c r="CMQ17" s="582"/>
      <c r="CMR17" s="582"/>
      <c r="CMS17" s="582"/>
      <c r="CMT17" s="582"/>
      <c r="CMU17" s="582"/>
      <c r="CMV17" s="582"/>
      <c r="CMW17" s="582"/>
      <c r="CMX17" s="582"/>
      <c r="CMY17" s="582"/>
      <c r="CMZ17" s="582"/>
      <c r="CNA17" s="582"/>
      <c r="CNB17" s="582"/>
      <c r="CNC17" s="582"/>
      <c r="CND17" s="582"/>
      <c r="CNE17" s="582"/>
      <c r="CNF17" s="582"/>
      <c r="CNG17" s="582"/>
      <c r="CNH17" s="582"/>
      <c r="CNI17" s="582"/>
      <c r="CNJ17" s="582"/>
      <c r="CNK17" s="582"/>
      <c r="CNL17" s="582"/>
      <c r="CNM17" s="582"/>
      <c r="CNN17" s="582"/>
      <c r="CNO17" s="582"/>
      <c r="CNP17" s="582"/>
      <c r="CNQ17" s="582"/>
      <c r="CNR17" s="582"/>
      <c r="CNS17" s="582"/>
      <c r="CNT17" s="582"/>
      <c r="CNU17" s="582"/>
      <c r="CNV17" s="582"/>
      <c r="CNW17" s="582"/>
      <c r="CNX17" s="582"/>
      <c r="CNY17" s="582"/>
      <c r="CNZ17" s="582"/>
      <c r="COA17" s="582"/>
      <c r="COB17" s="582"/>
      <c r="COC17" s="582"/>
      <c r="COD17" s="582"/>
      <c r="COE17" s="582"/>
      <c r="COF17" s="582"/>
      <c r="COG17" s="582"/>
      <c r="COH17" s="582"/>
      <c r="COI17" s="582"/>
      <c r="COJ17" s="582"/>
      <c r="COK17" s="582"/>
      <c r="COL17" s="582"/>
      <c r="COM17" s="582"/>
      <c r="CON17" s="582"/>
      <c r="COO17" s="582"/>
      <c r="COP17" s="582"/>
      <c r="COQ17" s="582"/>
      <c r="COR17" s="582"/>
      <c r="COS17" s="582"/>
      <c r="COT17" s="582"/>
      <c r="COU17" s="582"/>
      <c r="COV17" s="582"/>
      <c r="COW17" s="582"/>
      <c r="COX17" s="582"/>
      <c r="COY17" s="582"/>
      <c r="COZ17" s="582"/>
      <c r="CPA17" s="582"/>
      <c r="CPB17" s="582"/>
      <c r="CPC17" s="582"/>
      <c r="CPD17" s="582"/>
      <c r="CPE17" s="582"/>
      <c r="CPF17" s="582"/>
      <c r="CPG17" s="582"/>
      <c r="CPH17" s="582"/>
      <c r="CPI17" s="582"/>
      <c r="CPJ17" s="582"/>
      <c r="CPK17" s="582"/>
      <c r="CPL17" s="582"/>
      <c r="CPM17" s="582"/>
      <c r="CPN17" s="582"/>
      <c r="CPO17" s="582"/>
      <c r="CPP17" s="582"/>
      <c r="CPQ17" s="582"/>
      <c r="CPR17" s="582"/>
      <c r="CPS17" s="582"/>
      <c r="CPT17" s="582"/>
      <c r="CPU17" s="582"/>
      <c r="CPV17" s="582"/>
      <c r="CPW17" s="582"/>
      <c r="CPX17" s="582"/>
      <c r="CPY17" s="582"/>
      <c r="CPZ17" s="582"/>
      <c r="CQA17" s="582"/>
      <c r="CQB17" s="582"/>
      <c r="CQC17" s="582"/>
      <c r="CQD17" s="582"/>
      <c r="CQE17" s="582"/>
      <c r="CQF17" s="582"/>
      <c r="CQG17" s="582"/>
      <c r="CQH17" s="582"/>
      <c r="CQI17" s="582"/>
      <c r="CQJ17" s="582"/>
      <c r="CQK17" s="582"/>
      <c r="CQL17" s="582"/>
      <c r="CQM17" s="582"/>
      <c r="CQN17" s="582"/>
      <c r="CQO17" s="582"/>
      <c r="CQP17" s="582"/>
      <c r="CQQ17" s="582"/>
      <c r="CQR17" s="582"/>
      <c r="CQS17" s="582"/>
      <c r="CQT17" s="582"/>
      <c r="CQU17" s="582"/>
      <c r="CQV17" s="582"/>
      <c r="CQW17" s="582"/>
      <c r="CQX17" s="582"/>
      <c r="CQY17" s="582"/>
      <c r="CQZ17" s="582"/>
      <c r="CRA17" s="582"/>
      <c r="CRB17" s="582"/>
      <c r="CRC17" s="582"/>
      <c r="CRD17" s="582"/>
      <c r="CRE17" s="582"/>
      <c r="CRF17" s="582"/>
      <c r="CRG17" s="582"/>
      <c r="CRH17" s="582"/>
      <c r="CRI17" s="582"/>
      <c r="CRJ17" s="582"/>
      <c r="CRK17" s="582"/>
      <c r="CRL17" s="582"/>
      <c r="CRM17" s="582"/>
      <c r="CRN17" s="582"/>
      <c r="CRO17" s="582"/>
      <c r="CRP17" s="582"/>
      <c r="CRQ17" s="582"/>
      <c r="CRR17" s="582"/>
      <c r="CRS17" s="582"/>
      <c r="CRT17" s="582"/>
      <c r="CRU17" s="582"/>
      <c r="CRV17" s="582"/>
      <c r="CRW17" s="582"/>
      <c r="CRX17" s="582"/>
      <c r="CRY17" s="582"/>
      <c r="CRZ17" s="582"/>
      <c r="CSA17" s="582"/>
      <c r="CSB17" s="582"/>
      <c r="CSC17" s="582"/>
      <c r="CSD17" s="582"/>
      <c r="CSE17" s="582"/>
      <c r="CSF17" s="582"/>
      <c r="CSG17" s="582"/>
      <c r="CSH17" s="582"/>
      <c r="CSI17" s="582"/>
      <c r="CSJ17" s="582"/>
      <c r="CSK17" s="582"/>
      <c r="CSL17" s="582"/>
      <c r="CSM17" s="582"/>
      <c r="CSN17" s="582"/>
      <c r="CSO17" s="582"/>
      <c r="CSP17" s="582"/>
      <c r="CSQ17" s="582"/>
      <c r="CSR17" s="582"/>
      <c r="CSS17" s="582"/>
      <c r="CST17" s="582"/>
      <c r="CSU17" s="582"/>
      <c r="CSV17" s="582"/>
      <c r="CSW17" s="582"/>
      <c r="CSX17" s="582"/>
      <c r="CSY17" s="582"/>
      <c r="CSZ17" s="582"/>
      <c r="CTA17" s="582"/>
      <c r="CTB17" s="582"/>
      <c r="CTC17" s="582"/>
      <c r="CTD17" s="582"/>
      <c r="CTE17" s="582"/>
      <c r="CTF17" s="582"/>
      <c r="CTG17" s="582"/>
      <c r="CTH17" s="582"/>
      <c r="CTI17" s="582"/>
      <c r="CTJ17" s="582"/>
      <c r="CTK17" s="582"/>
      <c r="CTL17" s="582"/>
      <c r="CTM17" s="582"/>
      <c r="CTN17" s="582"/>
      <c r="CTO17" s="582"/>
      <c r="CTP17" s="582"/>
      <c r="CTQ17" s="582"/>
      <c r="CTR17" s="582"/>
      <c r="CTS17" s="582"/>
      <c r="CTT17" s="582"/>
      <c r="CTU17" s="582"/>
      <c r="CTV17" s="582"/>
      <c r="CTW17" s="582"/>
      <c r="CTX17" s="582"/>
      <c r="CTY17" s="582"/>
      <c r="CTZ17" s="582"/>
      <c r="CUA17" s="582"/>
      <c r="CUB17" s="582"/>
      <c r="CUC17" s="582"/>
      <c r="CUD17" s="582"/>
      <c r="CUE17" s="582"/>
      <c r="CUF17" s="582"/>
      <c r="CUG17" s="582"/>
      <c r="CUH17" s="582"/>
      <c r="CUI17" s="582"/>
      <c r="CUJ17" s="582"/>
      <c r="CUK17" s="582"/>
      <c r="CUL17" s="582"/>
      <c r="CUM17" s="582"/>
      <c r="CUN17" s="582"/>
      <c r="CUO17" s="582"/>
      <c r="CUP17" s="582"/>
      <c r="CUQ17" s="582"/>
      <c r="CUR17" s="582"/>
      <c r="CUS17" s="582"/>
      <c r="CUT17" s="582"/>
      <c r="CUU17" s="582"/>
      <c r="CUV17" s="582"/>
      <c r="CUW17" s="582"/>
      <c r="CUX17" s="582"/>
      <c r="CUY17" s="582"/>
      <c r="CUZ17" s="582"/>
      <c r="CVA17" s="582"/>
      <c r="CVB17" s="582"/>
      <c r="CVC17" s="582"/>
      <c r="CVD17" s="582"/>
      <c r="CVE17" s="582"/>
      <c r="CVF17" s="582"/>
      <c r="CVG17" s="582"/>
      <c r="CVH17" s="582"/>
      <c r="CVI17" s="582"/>
      <c r="CVJ17" s="582"/>
      <c r="CVK17" s="582"/>
      <c r="CVL17" s="582"/>
      <c r="CVM17" s="582"/>
      <c r="CVN17" s="582"/>
      <c r="CVO17" s="582"/>
      <c r="CVP17" s="582"/>
      <c r="CVQ17" s="582"/>
      <c r="CVR17" s="582"/>
      <c r="CVS17" s="582"/>
      <c r="CVT17" s="582"/>
      <c r="CVU17" s="582"/>
      <c r="CVV17" s="582"/>
      <c r="CVW17" s="582"/>
      <c r="CVX17" s="582"/>
      <c r="CVY17" s="582"/>
      <c r="CVZ17" s="582"/>
      <c r="CWA17" s="582"/>
      <c r="CWB17" s="582"/>
      <c r="CWC17" s="582"/>
      <c r="CWD17" s="582"/>
      <c r="CWE17" s="582"/>
      <c r="CWF17" s="582"/>
      <c r="CWG17" s="582"/>
      <c r="CWH17" s="582"/>
      <c r="CWI17" s="582"/>
      <c r="CWJ17" s="582"/>
      <c r="CWK17" s="582"/>
      <c r="CWL17" s="582"/>
      <c r="CWM17" s="582"/>
      <c r="CWN17" s="582"/>
      <c r="CWO17" s="582"/>
      <c r="CWP17" s="582"/>
      <c r="CWQ17" s="582"/>
      <c r="CWR17" s="582"/>
      <c r="CWS17" s="582"/>
      <c r="CWT17" s="582"/>
      <c r="CWU17" s="582"/>
      <c r="CWV17" s="582"/>
      <c r="CWW17" s="582"/>
      <c r="CWX17" s="582"/>
      <c r="CWY17" s="582"/>
      <c r="CWZ17" s="582"/>
      <c r="CXA17" s="582"/>
      <c r="CXB17" s="582"/>
      <c r="CXC17" s="582"/>
      <c r="CXD17" s="582"/>
      <c r="CXE17" s="582"/>
      <c r="CXF17" s="582"/>
      <c r="CXG17" s="582"/>
      <c r="CXH17" s="582"/>
      <c r="CXI17" s="582"/>
      <c r="CXJ17" s="582"/>
      <c r="CXK17" s="582"/>
      <c r="CXL17" s="582"/>
      <c r="CXM17" s="582"/>
      <c r="CXN17" s="582"/>
      <c r="CXO17" s="582"/>
      <c r="CXP17" s="582"/>
      <c r="CXQ17" s="582"/>
      <c r="CXR17" s="582"/>
      <c r="CXS17" s="582"/>
      <c r="CXT17" s="582"/>
      <c r="CXU17" s="582"/>
      <c r="CXV17" s="582"/>
      <c r="CXW17" s="582"/>
      <c r="CXX17" s="582"/>
      <c r="CXY17" s="582"/>
      <c r="CXZ17" s="582"/>
      <c r="CYA17" s="582"/>
      <c r="CYB17" s="582"/>
      <c r="CYC17" s="582"/>
      <c r="CYD17" s="582"/>
      <c r="CYE17" s="582"/>
      <c r="CYF17" s="582"/>
      <c r="CYG17" s="582"/>
      <c r="CYH17" s="582"/>
      <c r="CYI17" s="582"/>
      <c r="CYJ17" s="582"/>
      <c r="CYK17" s="582"/>
      <c r="CYL17" s="582"/>
      <c r="CYM17" s="582"/>
      <c r="CYN17" s="582"/>
      <c r="CYO17" s="582"/>
      <c r="CYP17" s="582"/>
      <c r="CYQ17" s="582"/>
      <c r="CYR17" s="582"/>
      <c r="CYS17" s="582"/>
      <c r="CYT17" s="582"/>
      <c r="CYU17" s="582"/>
      <c r="CYV17" s="582"/>
      <c r="CYW17" s="582"/>
      <c r="CYX17" s="582"/>
      <c r="CYY17" s="582"/>
      <c r="CYZ17" s="582"/>
      <c r="CZA17" s="582"/>
      <c r="CZB17" s="582"/>
      <c r="CZC17" s="582"/>
      <c r="CZD17" s="582"/>
      <c r="CZE17" s="582"/>
      <c r="CZF17" s="582"/>
      <c r="CZG17" s="582"/>
      <c r="CZH17" s="582"/>
      <c r="CZI17" s="582"/>
      <c r="CZJ17" s="582"/>
      <c r="CZK17" s="582"/>
      <c r="CZL17" s="582"/>
      <c r="CZM17" s="582"/>
      <c r="CZN17" s="582"/>
      <c r="CZO17" s="582"/>
      <c r="CZP17" s="582"/>
      <c r="CZQ17" s="582"/>
      <c r="CZR17" s="582"/>
      <c r="CZS17" s="582"/>
      <c r="CZT17" s="582"/>
      <c r="CZU17" s="582"/>
      <c r="CZV17" s="582"/>
      <c r="CZW17" s="582"/>
      <c r="CZX17" s="582"/>
      <c r="CZY17" s="582"/>
      <c r="CZZ17" s="582"/>
      <c r="DAA17" s="582"/>
      <c r="DAB17" s="582"/>
      <c r="DAC17" s="582"/>
      <c r="DAD17" s="582"/>
      <c r="DAE17" s="582"/>
      <c r="DAF17" s="582"/>
      <c r="DAG17" s="582"/>
      <c r="DAH17" s="582"/>
      <c r="DAI17" s="582"/>
      <c r="DAJ17" s="582"/>
      <c r="DAK17" s="582"/>
      <c r="DAL17" s="582"/>
      <c r="DAM17" s="582"/>
      <c r="DAN17" s="582"/>
      <c r="DAO17" s="582"/>
      <c r="DAP17" s="582"/>
      <c r="DAQ17" s="582"/>
      <c r="DAR17" s="582"/>
      <c r="DAS17" s="582"/>
      <c r="DAT17" s="582"/>
      <c r="DAU17" s="582"/>
      <c r="DAV17" s="582"/>
      <c r="DAW17" s="582"/>
      <c r="DAX17" s="582"/>
      <c r="DAY17" s="582"/>
      <c r="DAZ17" s="582"/>
      <c r="DBA17" s="582"/>
      <c r="DBB17" s="582"/>
      <c r="DBC17" s="582"/>
      <c r="DBD17" s="582"/>
      <c r="DBE17" s="582"/>
      <c r="DBF17" s="582"/>
      <c r="DBG17" s="582"/>
      <c r="DBH17" s="582"/>
      <c r="DBI17" s="582"/>
      <c r="DBJ17" s="582"/>
      <c r="DBK17" s="582"/>
      <c r="DBL17" s="582"/>
      <c r="DBM17" s="582"/>
      <c r="DBN17" s="582"/>
      <c r="DBO17" s="582"/>
      <c r="DBP17" s="582"/>
      <c r="DBQ17" s="582"/>
      <c r="DBR17" s="582"/>
      <c r="DBS17" s="582"/>
      <c r="DBT17" s="582"/>
      <c r="DBU17" s="582"/>
      <c r="DBV17" s="582"/>
      <c r="DBW17" s="582"/>
      <c r="DBX17" s="582"/>
      <c r="DBY17" s="582"/>
      <c r="DBZ17" s="582"/>
      <c r="DCA17" s="582"/>
      <c r="DCB17" s="582"/>
      <c r="DCC17" s="582"/>
      <c r="DCD17" s="582"/>
      <c r="DCE17" s="582"/>
      <c r="DCF17" s="582"/>
      <c r="DCG17" s="582"/>
      <c r="DCH17" s="582"/>
      <c r="DCI17" s="582"/>
      <c r="DCJ17" s="582"/>
      <c r="DCK17" s="582"/>
      <c r="DCL17" s="582"/>
      <c r="DCM17" s="582"/>
      <c r="DCN17" s="582"/>
      <c r="DCO17" s="582"/>
      <c r="DCP17" s="582"/>
      <c r="DCQ17" s="582"/>
      <c r="DCR17" s="582"/>
      <c r="DCS17" s="582"/>
      <c r="DCT17" s="582"/>
      <c r="DCU17" s="582"/>
      <c r="DCV17" s="582"/>
      <c r="DCW17" s="582"/>
      <c r="DCX17" s="582"/>
      <c r="DCY17" s="582"/>
      <c r="DCZ17" s="582"/>
      <c r="DDA17" s="582"/>
      <c r="DDB17" s="582"/>
      <c r="DDC17" s="582"/>
      <c r="DDD17" s="582"/>
      <c r="DDE17" s="582"/>
      <c r="DDF17" s="582"/>
      <c r="DDG17" s="582"/>
      <c r="DDH17" s="582"/>
      <c r="DDI17" s="582"/>
      <c r="DDJ17" s="582"/>
      <c r="DDK17" s="582"/>
      <c r="DDL17" s="582"/>
      <c r="DDM17" s="582"/>
      <c r="DDN17" s="582"/>
      <c r="DDO17" s="582"/>
      <c r="DDP17" s="582"/>
      <c r="DDQ17" s="582"/>
      <c r="DDR17" s="582"/>
      <c r="DDS17" s="582"/>
      <c r="DDT17" s="582"/>
      <c r="DDU17" s="582"/>
      <c r="DDV17" s="582"/>
      <c r="DDW17" s="582"/>
      <c r="DDX17" s="582"/>
      <c r="DDY17" s="582"/>
      <c r="DDZ17" s="582"/>
      <c r="DEA17" s="582"/>
      <c r="DEB17" s="582"/>
      <c r="DEC17" s="582"/>
      <c r="DED17" s="582"/>
      <c r="DEE17" s="582"/>
      <c r="DEF17" s="582"/>
      <c r="DEG17" s="582"/>
      <c r="DEH17" s="582"/>
      <c r="DEI17" s="582"/>
      <c r="DEJ17" s="582"/>
      <c r="DEK17" s="582"/>
      <c r="DEL17" s="582"/>
      <c r="DEM17" s="582"/>
      <c r="DEN17" s="582"/>
      <c r="DEO17" s="582"/>
      <c r="DEP17" s="582"/>
      <c r="DEQ17" s="582"/>
      <c r="DER17" s="582"/>
      <c r="DES17" s="582"/>
      <c r="DET17" s="582"/>
      <c r="DEU17" s="582"/>
      <c r="DEV17" s="582"/>
      <c r="DEW17" s="582"/>
      <c r="DEX17" s="582"/>
      <c r="DEY17" s="582"/>
      <c r="DEZ17" s="582"/>
      <c r="DFA17" s="582"/>
      <c r="DFB17" s="582"/>
      <c r="DFC17" s="582"/>
      <c r="DFD17" s="582"/>
      <c r="DFE17" s="582"/>
      <c r="DFF17" s="582"/>
      <c r="DFG17" s="582"/>
      <c r="DFH17" s="582"/>
      <c r="DFI17" s="582"/>
      <c r="DFJ17" s="582"/>
      <c r="DFK17" s="582"/>
      <c r="DFL17" s="582"/>
      <c r="DFM17" s="582"/>
      <c r="DFN17" s="582"/>
      <c r="DFO17" s="582"/>
      <c r="DFP17" s="582"/>
      <c r="DFQ17" s="582"/>
      <c r="DFR17" s="582"/>
      <c r="DFS17" s="582"/>
      <c r="DFT17" s="582"/>
      <c r="DFU17" s="582"/>
      <c r="DFV17" s="582"/>
      <c r="DFW17" s="582"/>
      <c r="DFX17" s="582"/>
      <c r="DFY17" s="582"/>
      <c r="DFZ17" s="582"/>
      <c r="DGA17" s="582"/>
      <c r="DGB17" s="582"/>
      <c r="DGC17" s="582"/>
      <c r="DGD17" s="582"/>
      <c r="DGE17" s="582"/>
      <c r="DGF17" s="582"/>
      <c r="DGG17" s="582"/>
      <c r="DGH17" s="582"/>
      <c r="DGI17" s="582"/>
      <c r="DGJ17" s="582"/>
      <c r="DGK17" s="582"/>
      <c r="DGL17" s="582"/>
      <c r="DGM17" s="582"/>
      <c r="DGN17" s="582"/>
      <c r="DGO17" s="582"/>
      <c r="DGP17" s="582"/>
      <c r="DGQ17" s="582"/>
      <c r="DGR17" s="582"/>
      <c r="DGS17" s="582"/>
      <c r="DGT17" s="582"/>
      <c r="DGU17" s="582"/>
      <c r="DGV17" s="582"/>
      <c r="DGW17" s="582"/>
      <c r="DGX17" s="582"/>
      <c r="DGY17" s="582"/>
      <c r="DGZ17" s="582"/>
      <c r="DHA17" s="582"/>
      <c r="DHB17" s="582"/>
      <c r="DHC17" s="582"/>
      <c r="DHD17" s="582"/>
      <c r="DHE17" s="582"/>
      <c r="DHF17" s="582"/>
      <c r="DHG17" s="582"/>
      <c r="DHH17" s="582"/>
      <c r="DHI17" s="582"/>
      <c r="DHJ17" s="582"/>
      <c r="DHK17" s="582"/>
      <c r="DHL17" s="582"/>
      <c r="DHM17" s="582"/>
      <c r="DHN17" s="582"/>
      <c r="DHO17" s="582"/>
      <c r="DHP17" s="582"/>
      <c r="DHQ17" s="582"/>
      <c r="DHR17" s="582"/>
      <c r="DHS17" s="582"/>
      <c r="DHT17" s="582"/>
      <c r="DHU17" s="582"/>
      <c r="DHV17" s="582"/>
      <c r="DHW17" s="582"/>
      <c r="DHX17" s="582"/>
      <c r="DHY17" s="582"/>
      <c r="DHZ17" s="582"/>
      <c r="DIA17" s="582"/>
      <c r="DIB17" s="582"/>
      <c r="DIC17" s="582"/>
      <c r="DID17" s="582"/>
      <c r="DIE17" s="582"/>
      <c r="DIF17" s="582"/>
      <c r="DIG17" s="582"/>
      <c r="DIH17" s="582"/>
      <c r="DII17" s="582"/>
      <c r="DIJ17" s="582"/>
      <c r="DIK17" s="582"/>
      <c r="DIL17" s="582"/>
      <c r="DIM17" s="582"/>
      <c r="DIN17" s="582"/>
      <c r="DIO17" s="582"/>
      <c r="DIP17" s="582"/>
      <c r="DIQ17" s="582"/>
      <c r="DIR17" s="582"/>
      <c r="DIS17" s="582"/>
      <c r="DIT17" s="582"/>
      <c r="DIU17" s="582"/>
      <c r="DIV17" s="582"/>
      <c r="DIW17" s="582"/>
      <c r="DIX17" s="582"/>
      <c r="DIY17" s="582"/>
      <c r="DIZ17" s="582"/>
      <c r="DJA17" s="582"/>
      <c r="DJB17" s="582"/>
      <c r="DJC17" s="582"/>
      <c r="DJD17" s="582"/>
      <c r="DJE17" s="582"/>
      <c r="DJF17" s="582"/>
      <c r="DJG17" s="582"/>
      <c r="DJH17" s="582"/>
      <c r="DJI17" s="582"/>
      <c r="DJJ17" s="582"/>
      <c r="DJK17" s="582"/>
      <c r="DJL17" s="582"/>
      <c r="DJM17" s="582"/>
      <c r="DJN17" s="582"/>
      <c r="DJO17" s="582"/>
      <c r="DJP17" s="582"/>
      <c r="DJQ17" s="582"/>
      <c r="DJR17" s="582"/>
      <c r="DJS17" s="582"/>
      <c r="DJT17" s="582"/>
      <c r="DJU17" s="582"/>
      <c r="DJV17" s="582"/>
      <c r="DJW17" s="582"/>
      <c r="DJX17" s="582"/>
      <c r="DJY17" s="582"/>
      <c r="DJZ17" s="582"/>
      <c r="DKA17" s="582"/>
      <c r="DKB17" s="582"/>
      <c r="DKC17" s="582"/>
      <c r="DKD17" s="582"/>
      <c r="DKE17" s="582"/>
      <c r="DKF17" s="582"/>
      <c r="DKG17" s="582"/>
      <c r="DKH17" s="582"/>
      <c r="DKI17" s="582"/>
      <c r="DKJ17" s="582"/>
      <c r="DKK17" s="582"/>
      <c r="DKL17" s="582"/>
      <c r="DKM17" s="582"/>
      <c r="DKN17" s="582"/>
      <c r="DKO17" s="582"/>
      <c r="DKP17" s="582"/>
      <c r="DKQ17" s="582"/>
      <c r="DKR17" s="582"/>
      <c r="DKS17" s="582"/>
      <c r="DKT17" s="582"/>
      <c r="DKU17" s="582"/>
      <c r="DKV17" s="582"/>
      <c r="DKW17" s="582"/>
      <c r="DKX17" s="582"/>
      <c r="DKY17" s="582"/>
      <c r="DKZ17" s="582"/>
      <c r="DLA17" s="582"/>
      <c r="DLB17" s="582"/>
      <c r="DLC17" s="582"/>
      <c r="DLD17" s="582"/>
      <c r="DLE17" s="582"/>
      <c r="DLF17" s="582"/>
      <c r="DLG17" s="582"/>
      <c r="DLH17" s="582"/>
      <c r="DLI17" s="582"/>
      <c r="DLJ17" s="582"/>
      <c r="DLK17" s="582"/>
      <c r="DLL17" s="582"/>
      <c r="DLM17" s="582"/>
      <c r="DLN17" s="582"/>
      <c r="DLO17" s="582"/>
      <c r="DLP17" s="582"/>
      <c r="DLQ17" s="582"/>
      <c r="DLR17" s="582"/>
      <c r="DLS17" s="582"/>
      <c r="DLT17" s="582"/>
      <c r="DLU17" s="582"/>
      <c r="DLV17" s="582"/>
      <c r="DLW17" s="582"/>
      <c r="DLX17" s="582"/>
      <c r="DLY17" s="582"/>
      <c r="DLZ17" s="582"/>
      <c r="DMA17" s="582"/>
      <c r="DMB17" s="582"/>
      <c r="DMC17" s="582"/>
      <c r="DMD17" s="582"/>
      <c r="DME17" s="582"/>
      <c r="DMF17" s="582"/>
      <c r="DMG17" s="582"/>
      <c r="DMH17" s="582"/>
      <c r="DMI17" s="582"/>
      <c r="DMJ17" s="582"/>
      <c r="DMK17" s="582"/>
      <c r="DML17" s="582"/>
      <c r="DMM17" s="582"/>
      <c r="DMN17" s="582"/>
      <c r="DMO17" s="582"/>
      <c r="DMP17" s="582"/>
      <c r="DMQ17" s="582"/>
      <c r="DMR17" s="582"/>
      <c r="DMS17" s="582"/>
      <c r="DMT17" s="582"/>
      <c r="DMU17" s="582"/>
      <c r="DMV17" s="582"/>
      <c r="DMW17" s="582"/>
      <c r="DMX17" s="582"/>
      <c r="DMY17" s="582"/>
      <c r="DMZ17" s="582"/>
      <c r="DNA17" s="582"/>
      <c r="DNB17" s="582"/>
      <c r="DNC17" s="582"/>
      <c r="DND17" s="582"/>
      <c r="DNE17" s="582"/>
      <c r="DNF17" s="582"/>
      <c r="DNG17" s="582"/>
      <c r="DNH17" s="582"/>
      <c r="DNI17" s="582"/>
      <c r="DNJ17" s="582"/>
      <c r="DNK17" s="582"/>
      <c r="DNL17" s="582"/>
      <c r="DNM17" s="582"/>
      <c r="DNN17" s="582"/>
      <c r="DNO17" s="582"/>
      <c r="DNP17" s="582"/>
      <c r="DNQ17" s="582"/>
      <c r="DNR17" s="582"/>
      <c r="DNS17" s="582"/>
      <c r="DNT17" s="582"/>
      <c r="DNU17" s="582"/>
      <c r="DNV17" s="582"/>
      <c r="DNW17" s="582"/>
      <c r="DNX17" s="582"/>
      <c r="DNY17" s="582"/>
      <c r="DNZ17" s="582"/>
      <c r="DOA17" s="582"/>
      <c r="DOB17" s="582"/>
      <c r="DOC17" s="582"/>
      <c r="DOD17" s="582"/>
      <c r="DOE17" s="582"/>
      <c r="DOF17" s="582"/>
      <c r="DOG17" s="582"/>
      <c r="DOH17" s="582"/>
      <c r="DOI17" s="582"/>
      <c r="DOJ17" s="582"/>
      <c r="DOK17" s="582"/>
      <c r="DOL17" s="582"/>
      <c r="DOM17" s="582"/>
      <c r="DON17" s="582"/>
      <c r="DOO17" s="582"/>
      <c r="DOP17" s="582"/>
      <c r="DOQ17" s="582"/>
      <c r="DOR17" s="582"/>
      <c r="DOS17" s="582"/>
      <c r="DOT17" s="582"/>
      <c r="DOU17" s="582"/>
      <c r="DOV17" s="582"/>
      <c r="DOW17" s="582"/>
      <c r="DOX17" s="582"/>
      <c r="DOY17" s="582"/>
      <c r="DOZ17" s="582"/>
      <c r="DPA17" s="582"/>
      <c r="DPB17" s="582"/>
      <c r="DPC17" s="582"/>
      <c r="DPD17" s="582"/>
      <c r="DPE17" s="582"/>
      <c r="DPF17" s="582"/>
      <c r="DPG17" s="582"/>
      <c r="DPH17" s="582"/>
      <c r="DPI17" s="582"/>
      <c r="DPJ17" s="582"/>
      <c r="DPK17" s="582"/>
      <c r="DPL17" s="582"/>
      <c r="DPM17" s="582"/>
      <c r="DPN17" s="582"/>
      <c r="DPO17" s="582"/>
      <c r="DPP17" s="582"/>
      <c r="DPQ17" s="582"/>
      <c r="DPR17" s="582"/>
      <c r="DPS17" s="582"/>
      <c r="DPT17" s="582"/>
      <c r="DPU17" s="582"/>
      <c r="DPV17" s="582"/>
      <c r="DPW17" s="582"/>
      <c r="DPX17" s="582"/>
      <c r="DPY17" s="582"/>
      <c r="DPZ17" s="582"/>
      <c r="DQA17" s="582"/>
      <c r="DQB17" s="582"/>
      <c r="DQC17" s="582"/>
      <c r="DQD17" s="582"/>
      <c r="DQE17" s="582"/>
      <c r="DQF17" s="582"/>
      <c r="DQG17" s="582"/>
      <c r="DQH17" s="582"/>
      <c r="DQI17" s="582"/>
      <c r="DQJ17" s="582"/>
      <c r="DQK17" s="582"/>
      <c r="DQL17" s="582"/>
      <c r="DQM17" s="582"/>
      <c r="DQN17" s="582"/>
      <c r="DQO17" s="582"/>
      <c r="DQP17" s="582"/>
      <c r="DQQ17" s="582"/>
      <c r="DQR17" s="582"/>
      <c r="DQS17" s="582"/>
      <c r="DQT17" s="582"/>
      <c r="DQU17" s="582"/>
      <c r="DQV17" s="582"/>
      <c r="DQW17" s="582"/>
      <c r="DQX17" s="582"/>
      <c r="DQY17" s="582"/>
      <c r="DQZ17" s="582"/>
      <c r="DRA17" s="582"/>
      <c r="DRB17" s="582"/>
      <c r="DRC17" s="582"/>
      <c r="DRD17" s="582"/>
      <c r="DRE17" s="582"/>
      <c r="DRF17" s="582"/>
      <c r="DRG17" s="582"/>
      <c r="DRH17" s="582"/>
      <c r="DRI17" s="582"/>
      <c r="DRJ17" s="582"/>
      <c r="DRK17" s="582"/>
      <c r="DRL17" s="582"/>
      <c r="DRM17" s="582"/>
      <c r="DRN17" s="582"/>
      <c r="DRO17" s="582"/>
      <c r="DRP17" s="582"/>
      <c r="DRQ17" s="582"/>
      <c r="DRR17" s="582"/>
      <c r="DRS17" s="582"/>
      <c r="DRT17" s="582"/>
      <c r="DRU17" s="582"/>
      <c r="DRV17" s="582"/>
      <c r="DRW17" s="582"/>
      <c r="DRX17" s="582"/>
      <c r="DRY17" s="582"/>
      <c r="DRZ17" s="582"/>
      <c r="DSA17" s="582"/>
      <c r="DSB17" s="582"/>
      <c r="DSC17" s="582"/>
      <c r="DSD17" s="582"/>
      <c r="DSE17" s="582"/>
      <c r="DSF17" s="582"/>
      <c r="DSG17" s="582"/>
      <c r="DSH17" s="582"/>
      <c r="DSI17" s="582"/>
      <c r="DSJ17" s="582"/>
      <c r="DSK17" s="582"/>
      <c r="DSL17" s="582"/>
      <c r="DSM17" s="582"/>
      <c r="DSN17" s="582"/>
      <c r="DSO17" s="582"/>
      <c r="DSP17" s="582"/>
      <c r="DSQ17" s="582"/>
      <c r="DSR17" s="582"/>
      <c r="DSS17" s="582"/>
      <c r="DST17" s="582"/>
      <c r="DSU17" s="582"/>
      <c r="DSV17" s="582"/>
      <c r="DSW17" s="582"/>
      <c r="DSX17" s="582"/>
      <c r="DSY17" s="582"/>
      <c r="DSZ17" s="582"/>
      <c r="DTA17" s="582"/>
      <c r="DTB17" s="582"/>
      <c r="DTC17" s="582"/>
      <c r="DTD17" s="582"/>
      <c r="DTE17" s="582"/>
      <c r="DTF17" s="582"/>
      <c r="DTG17" s="582"/>
      <c r="DTH17" s="582"/>
      <c r="DTI17" s="582"/>
      <c r="DTJ17" s="582"/>
      <c r="DTK17" s="582"/>
      <c r="DTL17" s="582"/>
      <c r="DTM17" s="582"/>
      <c r="DTN17" s="582"/>
      <c r="DTO17" s="582"/>
      <c r="DTP17" s="582"/>
      <c r="DTQ17" s="582"/>
      <c r="DTR17" s="582"/>
      <c r="DTS17" s="582"/>
      <c r="DTT17" s="582"/>
      <c r="DTU17" s="582"/>
      <c r="DTV17" s="582"/>
      <c r="DTW17" s="582"/>
      <c r="DTX17" s="582"/>
      <c r="DTY17" s="582"/>
      <c r="DTZ17" s="582"/>
      <c r="DUA17" s="582"/>
      <c r="DUB17" s="582"/>
      <c r="DUC17" s="582"/>
      <c r="DUD17" s="582"/>
      <c r="DUE17" s="582"/>
      <c r="DUF17" s="582"/>
      <c r="DUG17" s="582"/>
      <c r="DUH17" s="582"/>
      <c r="DUI17" s="582"/>
      <c r="DUJ17" s="582"/>
      <c r="DUK17" s="582"/>
      <c r="DUL17" s="582"/>
      <c r="DUM17" s="582"/>
      <c r="DUN17" s="582"/>
      <c r="DUO17" s="582"/>
      <c r="DUP17" s="582"/>
      <c r="DUQ17" s="582"/>
      <c r="DUR17" s="582"/>
      <c r="DUS17" s="582"/>
      <c r="DUT17" s="582"/>
      <c r="DUU17" s="582"/>
      <c r="DUV17" s="582"/>
      <c r="DUW17" s="582"/>
      <c r="DUX17" s="582"/>
      <c r="DUY17" s="582"/>
      <c r="DUZ17" s="582"/>
      <c r="DVA17" s="582"/>
      <c r="DVB17" s="582"/>
      <c r="DVC17" s="582"/>
      <c r="DVD17" s="582"/>
      <c r="DVE17" s="582"/>
      <c r="DVF17" s="582"/>
      <c r="DVG17" s="582"/>
      <c r="DVH17" s="582"/>
      <c r="DVI17" s="582"/>
      <c r="DVJ17" s="582"/>
      <c r="DVK17" s="582"/>
      <c r="DVL17" s="582"/>
      <c r="DVM17" s="582"/>
      <c r="DVN17" s="582"/>
      <c r="DVO17" s="582"/>
      <c r="DVP17" s="582"/>
      <c r="DVQ17" s="582"/>
      <c r="DVR17" s="582"/>
      <c r="DVS17" s="582"/>
      <c r="DVT17" s="582"/>
      <c r="DVU17" s="582"/>
      <c r="DVV17" s="582"/>
      <c r="DVW17" s="582"/>
      <c r="DVX17" s="582"/>
      <c r="DVY17" s="582"/>
      <c r="DVZ17" s="582"/>
      <c r="DWA17" s="582"/>
      <c r="DWB17" s="582"/>
      <c r="DWC17" s="582"/>
      <c r="DWD17" s="582"/>
      <c r="DWE17" s="582"/>
      <c r="DWF17" s="582"/>
      <c r="DWG17" s="582"/>
      <c r="DWH17" s="582"/>
      <c r="DWI17" s="582"/>
      <c r="DWJ17" s="582"/>
      <c r="DWK17" s="582"/>
      <c r="DWL17" s="582"/>
      <c r="DWM17" s="582"/>
      <c r="DWN17" s="582"/>
      <c r="DWO17" s="582"/>
      <c r="DWP17" s="582"/>
      <c r="DWQ17" s="582"/>
      <c r="DWR17" s="582"/>
      <c r="DWS17" s="582"/>
      <c r="DWT17" s="582"/>
      <c r="DWU17" s="582"/>
      <c r="DWV17" s="582"/>
      <c r="DWW17" s="582"/>
      <c r="DWX17" s="582"/>
      <c r="DWY17" s="582"/>
      <c r="DWZ17" s="582"/>
      <c r="DXA17" s="582"/>
      <c r="DXB17" s="582"/>
      <c r="DXC17" s="582"/>
      <c r="DXD17" s="582"/>
      <c r="DXE17" s="582"/>
      <c r="DXF17" s="582"/>
      <c r="DXG17" s="582"/>
      <c r="DXH17" s="582"/>
      <c r="DXI17" s="582"/>
      <c r="DXJ17" s="582"/>
      <c r="DXK17" s="582"/>
      <c r="DXL17" s="582"/>
      <c r="DXM17" s="582"/>
      <c r="DXN17" s="582"/>
      <c r="DXO17" s="582"/>
      <c r="DXP17" s="582"/>
      <c r="DXQ17" s="582"/>
      <c r="DXR17" s="582"/>
      <c r="DXS17" s="582"/>
      <c r="DXT17" s="582"/>
      <c r="DXU17" s="582"/>
      <c r="DXV17" s="582"/>
      <c r="DXW17" s="582"/>
      <c r="DXX17" s="582"/>
      <c r="DXY17" s="582"/>
      <c r="DXZ17" s="582"/>
      <c r="DYA17" s="582"/>
      <c r="DYB17" s="582"/>
      <c r="DYC17" s="582"/>
      <c r="DYD17" s="582"/>
      <c r="DYE17" s="582"/>
      <c r="DYF17" s="582"/>
      <c r="DYG17" s="582"/>
      <c r="DYH17" s="582"/>
      <c r="DYI17" s="582"/>
      <c r="DYJ17" s="582"/>
      <c r="DYK17" s="582"/>
      <c r="DYL17" s="582"/>
      <c r="DYM17" s="582"/>
      <c r="DYN17" s="582"/>
      <c r="DYO17" s="582"/>
      <c r="DYP17" s="582"/>
      <c r="DYQ17" s="582"/>
      <c r="DYR17" s="582"/>
      <c r="DYS17" s="582"/>
      <c r="DYT17" s="582"/>
      <c r="DYU17" s="582"/>
      <c r="DYV17" s="582"/>
      <c r="DYW17" s="582"/>
      <c r="DYX17" s="582"/>
      <c r="DYY17" s="582"/>
      <c r="DYZ17" s="582"/>
      <c r="DZA17" s="582"/>
      <c r="DZB17" s="582"/>
      <c r="DZC17" s="582"/>
      <c r="DZD17" s="582"/>
      <c r="DZE17" s="582"/>
      <c r="DZF17" s="582"/>
      <c r="DZG17" s="582"/>
      <c r="DZH17" s="582"/>
      <c r="DZI17" s="582"/>
      <c r="DZJ17" s="582"/>
      <c r="DZK17" s="582"/>
      <c r="DZL17" s="582"/>
      <c r="DZM17" s="582"/>
      <c r="DZN17" s="582"/>
      <c r="DZO17" s="582"/>
      <c r="DZP17" s="582"/>
      <c r="DZQ17" s="582"/>
      <c r="DZR17" s="582"/>
      <c r="DZS17" s="582"/>
      <c r="DZT17" s="582"/>
      <c r="DZU17" s="582"/>
      <c r="DZV17" s="582"/>
      <c r="DZW17" s="582"/>
      <c r="DZX17" s="582"/>
      <c r="DZY17" s="582"/>
      <c r="DZZ17" s="582"/>
      <c r="EAA17" s="582"/>
      <c r="EAB17" s="582"/>
      <c r="EAC17" s="582"/>
      <c r="EAD17" s="582"/>
      <c r="EAE17" s="582"/>
      <c r="EAF17" s="582"/>
      <c r="EAG17" s="582"/>
      <c r="EAH17" s="582"/>
      <c r="EAI17" s="582"/>
      <c r="EAJ17" s="582"/>
      <c r="EAK17" s="582"/>
      <c r="EAL17" s="582"/>
      <c r="EAM17" s="582"/>
      <c r="EAN17" s="582"/>
      <c r="EAO17" s="582"/>
      <c r="EAP17" s="582"/>
      <c r="EAQ17" s="582"/>
      <c r="EAR17" s="582"/>
      <c r="EAS17" s="582"/>
      <c r="EAT17" s="582"/>
      <c r="EAU17" s="582"/>
      <c r="EAV17" s="582"/>
      <c r="EAW17" s="582"/>
      <c r="EAX17" s="582"/>
      <c r="EAY17" s="582"/>
      <c r="EAZ17" s="582"/>
      <c r="EBA17" s="582"/>
      <c r="EBB17" s="582"/>
      <c r="EBC17" s="582"/>
      <c r="EBD17" s="582"/>
      <c r="EBE17" s="582"/>
      <c r="EBF17" s="582"/>
      <c r="EBG17" s="582"/>
      <c r="EBH17" s="582"/>
      <c r="EBI17" s="582"/>
      <c r="EBJ17" s="582"/>
      <c r="EBK17" s="582"/>
      <c r="EBL17" s="582"/>
      <c r="EBM17" s="582"/>
      <c r="EBN17" s="582"/>
      <c r="EBO17" s="582"/>
      <c r="EBP17" s="582"/>
      <c r="EBQ17" s="582"/>
      <c r="EBR17" s="582"/>
      <c r="EBS17" s="582"/>
      <c r="EBT17" s="582"/>
      <c r="EBU17" s="582"/>
      <c r="EBV17" s="582"/>
      <c r="EBW17" s="582"/>
      <c r="EBX17" s="582"/>
      <c r="EBY17" s="582"/>
      <c r="EBZ17" s="582"/>
      <c r="ECA17" s="582"/>
      <c r="ECB17" s="582"/>
      <c r="ECC17" s="582"/>
      <c r="ECD17" s="582"/>
      <c r="ECE17" s="582"/>
      <c r="ECF17" s="582"/>
      <c r="ECG17" s="582"/>
      <c r="ECH17" s="582"/>
      <c r="ECI17" s="582"/>
      <c r="ECJ17" s="582"/>
      <c r="ECK17" s="582"/>
      <c r="ECL17" s="582"/>
      <c r="ECM17" s="582"/>
      <c r="ECN17" s="582"/>
      <c r="ECO17" s="582"/>
      <c r="ECP17" s="582"/>
      <c r="ECQ17" s="582"/>
      <c r="ECR17" s="582"/>
      <c r="ECS17" s="582"/>
      <c r="ECT17" s="582"/>
      <c r="ECU17" s="582"/>
      <c r="ECV17" s="582"/>
      <c r="ECW17" s="582"/>
      <c r="ECX17" s="582"/>
      <c r="ECY17" s="582"/>
      <c r="ECZ17" s="582"/>
      <c r="EDA17" s="582"/>
      <c r="EDB17" s="582"/>
      <c r="EDC17" s="582"/>
      <c r="EDD17" s="582"/>
      <c r="EDE17" s="582"/>
      <c r="EDF17" s="582"/>
      <c r="EDG17" s="582"/>
      <c r="EDH17" s="582"/>
      <c r="EDI17" s="582"/>
      <c r="EDJ17" s="582"/>
      <c r="EDK17" s="582"/>
      <c r="EDL17" s="582"/>
      <c r="EDM17" s="582"/>
      <c r="EDN17" s="582"/>
      <c r="EDO17" s="582"/>
      <c r="EDP17" s="582"/>
      <c r="EDQ17" s="582"/>
      <c r="EDR17" s="582"/>
      <c r="EDS17" s="582"/>
      <c r="EDT17" s="582"/>
      <c r="EDU17" s="582"/>
      <c r="EDV17" s="582"/>
      <c r="EDW17" s="582"/>
      <c r="EDX17" s="582"/>
      <c r="EDY17" s="582"/>
      <c r="EDZ17" s="582"/>
      <c r="EEA17" s="582"/>
      <c r="EEB17" s="582"/>
      <c r="EEC17" s="582"/>
      <c r="EED17" s="582"/>
      <c r="EEE17" s="582"/>
      <c r="EEF17" s="582"/>
      <c r="EEG17" s="582"/>
      <c r="EEH17" s="582"/>
      <c r="EEI17" s="582"/>
      <c r="EEJ17" s="582"/>
      <c r="EEK17" s="582"/>
      <c r="EEL17" s="582"/>
      <c r="EEM17" s="582"/>
      <c r="EEN17" s="582"/>
      <c r="EEO17" s="582"/>
      <c r="EEP17" s="582"/>
      <c r="EEQ17" s="582"/>
      <c r="EER17" s="582"/>
      <c r="EES17" s="582"/>
      <c r="EET17" s="582"/>
      <c r="EEU17" s="582"/>
      <c r="EEV17" s="582"/>
      <c r="EEW17" s="582"/>
      <c r="EEX17" s="582"/>
      <c r="EEY17" s="582"/>
      <c r="EEZ17" s="582"/>
      <c r="EFA17" s="582"/>
      <c r="EFB17" s="582"/>
      <c r="EFC17" s="582"/>
      <c r="EFD17" s="582"/>
      <c r="EFE17" s="582"/>
      <c r="EFF17" s="582"/>
      <c r="EFG17" s="582"/>
      <c r="EFH17" s="582"/>
      <c r="EFI17" s="582"/>
      <c r="EFJ17" s="582"/>
      <c r="EFK17" s="582"/>
      <c r="EFL17" s="582"/>
      <c r="EFM17" s="582"/>
      <c r="EFN17" s="582"/>
      <c r="EFO17" s="582"/>
      <c r="EFP17" s="582"/>
      <c r="EFQ17" s="582"/>
      <c r="EFR17" s="582"/>
      <c r="EFS17" s="582"/>
      <c r="EFT17" s="582"/>
      <c r="EFU17" s="582"/>
      <c r="EFV17" s="582"/>
      <c r="EFW17" s="582"/>
      <c r="EFX17" s="582"/>
      <c r="EFY17" s="582"/>
      <c r="EFZ17" s="582"/>
      <c r="EGA17" s="582"/>
      <c r="EGB17" s="582"/>
      <c r="EGC17" s="582"/>
      <c r="EGD17" s="582"/>
      <c r="EGE17" s="582"/>
      <c r="EGF17" s="582"/>
      <c r="EGG17" s="582"/>
      <c r="EGH17" s="582"/>
      <c r="EGI17" s="582"/>
      <c r="EGJ17" s="582"/>
      <c r="EGK17" s="582"/>
      <c r="EGL17" s="582"/>
      <c r="EGM17" s="582"/>
      <c r="EGN17" s="582"/>
      <c r="EGO17" s="582"/>
      <c r="EGP17" s="582"/>
      <c r="EGQ17" s="582"/>
      <c r="EGR17" s="582"/>
      <c r="EGS17" s="582"/>
      <c r="EGT17" s="582"/>
      <c r="EGU17" s="582"/>
      <c r="EGV17" s="582"/>
      <c r="EGW17" s="582"/>
      <c r="EGX17" s="582"/>
      <c r="EGY17" s="582"/>
      <c r="EGZ17" s="582"/>
      <c r="EHA17" s="582"/>
      <c r="EHB17" s="582"/>
      <c r="EHC17" s="582"/>
      <c r="EHD17" s="582"/>
      <c r="EHE17" s="582"/>
      <c r="EHF17" s="582"/>
      <c r="EHG17" s="582"/>
      <c r="EHH17" s="582"/>
      <c r="EHI17" s="582"/>
      <c r="EHJ17" s="582"/>
      <c r="EHK17" s="582"/>
      <c r="EHL17" s="582"/>
      <c r="EHM17" s="582"/>
      <c r="EHN17" s="582"/>
      <c r="EHO17" s="582"/>
      <c r="EHP17" s="582"/>
      <c r="EHQ17" s="582"/>
      <c r="EHR17" s="582"/>
      <c r="EHS17" s="582"/>
      <c r="EHT17" s="582"/>
      <c r="EHU17" s="582"/>
      <c r="EHV17" s="582"/>
      <c r="EHW17" s="582"/>
      <c r="EHX17" s="582"/>
      <c r="EHY17" s="582"/>
      <c r="EHZ17" s="582"/>
      <c r="EIA17" s="582"/>
      <c r="EIB17" s="582"/>
      <c r="EIC17" s="582"/>
      <c r="EID17" s="582"/>
      <c r="EIE17" s="582"/>
      <c r="EIF17" s="582"/>
      <c r="EIG17" s="582"/>
      <c r="EIH17" s="582"/>
      <c r="EII17" s="582"/>
      <c r="EIJ17" s="582"/>
      <c r="EIK17" s="582"/>
      <c r="EIL17" s="582"/>
      <c r="EIM17" s="582"/>
      <c r="EIN17" s="582"/>
      <c r="EIO17" s="582"/>
      <c r="EIP17" s="582"/>
      <c r="EIQ17" s="582"/>
      <c r="EIR17" s="582"/>
      <c r="EIS17" s="582"/>
      <c r="EIT17" s="582"/>
      <c r="EIU17" s="582"/>
      <c r="EIV17" s="582"/>
      <c r="EIW17" s="582"/>
      <c r="EIX17" s="582"/>
      <c r="EIY17" s="582"/>
      <c r="EIZ17" s="582"/>
      <c r="EJA17" s="582"/>
      <c r="EJB17" s="582"/>
      <c r="EJC17" s="582"/>
      <c r="EJD17" s="582"/>
      <c r="EJE17" s="582"/>
      <c r="EJF17" s="582"/>
      <c r="EJG17" s="582"/>
      <c r="EJH17" s="582"/>
      <c r="EJI17" s="582"/>
      <c r="EJJ17" s="582"/>
      <c r="EJK17" s="582"/>
      <c r="EJL17" s="582"/>
      <c r="EJM17" s="582"/>
      <c r="EJN17" s="582"/>
      <c r="EJO17" s="582"/>
      <c r="EJP17" s="582"/>
      <c r="EJQ17" s="582"/>
      <c r="EJR17" s="582"/>
      <c r="EJS17" s="582"/>
      <c r="EJT17" s="582"/>
      <c r="EJU17" s="582"/>
      <c r="EJV17" s="582"/>
      <c r="EJW17" s="582"/>
      <c r="EJX17" s="582"/>
      <c r="EJY17" s="582"/>
      <c r="EJZ17" s="582"/>
      <c r="EKA17" s="582"/>
      <c r="EKB17" s="582"/>
      <c r="EKC17" s="582"/>
      <c r="EKD17" s="582"/>
      <c r="EKE17" s="582"/>
      <c r="EKF17" s="582"/>
      <c r="EKG17" s="582"/>
      <c r="EKH17" s="582"/>
      <c r="EKI17" s="582"/>
      <c r="EKJ17" s="582"/>
      <c r="EKK17" s="582"/>
      <c r="EKL17" s="582"/>
      <c r="EKM17" s="582"/>
      <c r="EKN17" s="582"/>
      <c r="EKO17" s="582"/>
      <c r="EKP17" s="582"/>
      <c r="EKQ17" s="582"/>
      <c r="EKR17" s="582"/>
      <c r="EKS17" s="582"/>
      <c r="EKT17" s="582"/>
      <c r="EKU17" s="582"/>
      <c r="EKV17" s="582"/>
      <c r="EKW17" s="582"/>
      <c r="EKX17" s="582"/>
      <c r="EKY17" s="582"/>
      <c r="EKZ17" s="582"/>
      <c r="ELA17" s="582"/>
      <c r="ELB17" s="582"/>
      <c r="ELC17" s="582"/>
      <c r="ELD17" s="582"/>
      <c r="ELE17" s="582"/>
      <c r="ELF17" s="582"/>
      <c r="ELG17" s="582"/>
      <c r="ELH17" s="582"/>
      <c r="ELI17" s="582"/>
      <c r="ELJ17" s="582"/>
      <c r="ELK17" s="582"/>
      <c r="ELL17" s="582"/>
      <c r="ELM17" s="582"/>
      <c r="ELN17" s="582"/>
      <c r="ELO17" s="582"/>
      <c r="ELP17" s="582"/>
      <c r="ELQ17" s="582"/>
      <c r="ELR17" s="582"/>
      <c r="ELS17" s="582"/>
      <c r="ELT17" s="582"/>
      <c r="ELU17" s="582"/>
      <c r="ELV17" s="582"/>
      <c r="ELW17" s="582"/>
      <c r="ELX17" s="582"/>
      <c r="ELY17" s="582"/>
      <c r="ELZ17" s="582"/>
      <c r="EMA17" s="582"/>
      <c r="EMB17" s="582"/>
      <c r="EMC17" s="582"/>
      <c r="EMD17" s="582"/>
      <c r="EME17" s="582"/>
      <c r="EMF17" s="582"/>
      <c r="EMG17" s="582"/>
      <c r="EMH17" s="582"/>
      <c r="EMI17" s="582"/>
      <c r="EMJ17" s="582"/>
      <c r="EMK17" s="582"/>
      <c r="EML17" s="582"/>
      <c r="EMM17" s="582"/>
      <c r="EMN17" s="582"/>
      <c r="EMO17" s="582"/>
      <c r="EMP17" s="582"/>
      <c r="EMQ17" s="582"/>
      <c r="EMR17" s="582"/>
      <c r="EMS17" s="582"/>
      <c r="EMT17" s="582"/>
      <c r="EMU17" s="582"/>
      <c r="EMV17" s="582"/>
      <c r="EMW17" s="582"/>
      <c r="EMX17" s="582"/>
      <c r="EMY17" s="582"/>
      <c r="EMZ17" s="582"/>
      <c r="ENA17" s="582"/>
      <c r="ENB17" s="582"/>
      <c r="ENC17" s="582"/>
      <c r="END17" s="582"/>
      <c r="ENE17" s="582"/>
      <c r="ENF17" s="582"/>
      <c r="ENG17" s="582"/>
      <c r="ENH17" s="582"/>
      <c r="ENI17" s="582"/>
      <c r="ENJ17" s="582"/>
      <c r="ENK17" s="582"/>
      <c r="ENL17" s="582"/>
      <c r="ENM17" s="582"/>
      <c r="ENN17" s="582"/>
      <c r="ENO17" s="582"/>
      <c r="ENP17" s="582"/>
      <c r="ENQ17" s="582"/>
      <c r="ENR17" s="582"/>
      <c r="ENS17" s="582"/>
      <c r="ENT17" s="582"/>
      <c r="ENU17" s="582"/>
      <c r="ENV17" s="582"/>
      <c r="ENW17" s="582"/>
      <c r="ENX17" s="582"/>
      <c r="ENY17" s="582"/>
      <c r="ENZ17" s="582"/>
      <c r="EOA17" s="582"/>
      <c r="EOB17" s="582"/>
      <c r="EOC17" s="582"/>
      <c r="EOD17" s="582"/>
      <c r="EOE17" s="582"/>
      <c r="EOF17" s="582"/>
      <c r="EOG17" s="582"/>
      <c r="EOH17" s="582"/>
      <c r="EOI17" s="582"/>
      <c r="EOJ17" s="582"/>
      <c r="EOK17" s="582"/>
      <c r="EOL17" s="582"/>
      <c r="EOM17" s="582"/>
      <c r="EON17" s="582"/>
      <c r="EOO17" s="582"/>
      <c r="EOP17" s="582"/>
      <c r="EOQ17" s="582"/>
      <c r="EOR17" s="582"/>
      <c r="EOS17" s="582"/>
      <c r="EOT17" s="582"/>
      <c r="EOU17" s="582"/>
      <c r="EOV17" s="582"/>
      <c r="EOW17" s="582"/>
      <c r="EOX17" s="582"/>
      <c r="EOY17" s="582"/>
      <c r="EOZ17" s="582"/>
      <c r="EPA17" s="582"/>
      <c r="EPB17" s="582"/>
      <c r="EPC17" s="582"/>
      <c r="EPD17" s="582"/>
      <c r="EPE17" s="582"/>
      <c r="EPF17" s="582"/>
      <c r="EPG17" s="582"/>
      <c r="EPH17" s="582"/>
      <c r="EPI17" s="582"/>
      <c r="EPJ17" s="582"/>
      <c r="EPK17" s="582"/>
      <c r="EPL17" s="582"/>
      <c r="EPM17" s="582"/>
      <c r="EPN17" s="582"/>
      <c r="EPO17" s="582"/>
      <c r="EPP17" s="582"/>
      <c r="EPQ17" s="582"/>
      <c r="EPR17" s="582"/>
      <c r="EPS17" s="582"/>
      <c r="EPT17" s="582"/>
      <c r="EPU17" s="582"/>
      <c r="EPV17" s="582"/>
      <c r="EPW17" s="582"/>
      <c r="EPX17" s="582"/>
      <c r="EPY17" s="582"/>
      <c r="EPZ17" s="582"/>
      <c r="EQA17" s="582"/>
      <c r="EQB17" s="582"/>
      <c r="EQC17" s="582"/>
      <c r="EQD17" s="582"/>
      <c r="EQE17" s="582"/>
      <c r="EQF17" s="582"/>
      <c r="EQG17" s="582"/>
      <c r="EQH17" s="582"/>
      <c r="EQI17" s="582"/>
      <c r="EQJ17" s="582"/>
      <c r="EQK17" s="582"/>
      <c r="EQL17" s="582"/>
      <c r="EQM17" s="582"/>
      <c r="EQN17" s="582"/>
      <c r="EQO17" s="582"/>
      <c r="EQP17" s="582"/>
      <c r="EQQ17" s="582"/>
      <c r="EQR17" s="582"/>
      <c r="EQS17" s="582"/>
      <c r="EQT17" s="582"/>
      <c r="EQU17" s="582"/>
      <c r="EQV17" s="582"/>
      <c r="EQW17" s="582"/>
      <c r="EQX17" s="582"/>
      <c r="EQY17" s="582"/>
      <c r="EQZ17" s="582"/>
      <c r="ERA17" s="582"/>
      <c r="ERB17" s="582"/>
      <c r="ERC17" s="582"/>
      <c r="ERD17" s="582"/>
      <c r="ERE17" s="582"/>
      <c r="ERF17" s="582"/>
      <c r="ERG17" s="582"/>
      <c r="ERH17" s="582"/>
      <c r="ERI17" s="582"/>
      <c r="ERJ17" s="582"/>
      <c r="ERK17" s="582"/>
      <c r="ERL17" s="582"/>
      <c r="ERM17" s="582"/>
      <c r="ERN17" s="582"/>
      <c r="ERO17" s="582"/>
      <c r="ERP17" s="582"/>
      <c r="ERQ17" s="582"/>
      <c r="ERR17" s="582"/>
      <c r="ERS17" s="582"/>
      <c r="ERT17" s="582"/>
      <c r="ERU17" s="582"/>
      <c r="ERV17" s="582"/>
      <c r="ERW17" s="582"/>
      <c r="ERX17" s="582"/>
      <c r="ERY17" s="582"/>
      <c r="ERZ17" s="582"/>
      <c r="ESA17" s="582"/>
      <c r="ESB17" s="582"/>
      <c r="ESC17" s="582"/>
      <c r="ESD17" s="582"/>
      <c r="ESE17" s="582"/>
      <c r="ESF17" s="582"/>
      <c r="ESG17" s="582"/>
      <c r="ESH17" s="582"/>
      <c r="ESI17" s="582"/>
      <c r="ESJ17" s="582"/>
      <c r="ESK17" s="582"/>
      <c r="ESL17" s="582"/>
      <c r="ESM17" s="582"/>
      <c r="ESN17" s="582"/>
      <c r="ESO17" s="582"/>
      <c r="ESP17" s="582"/>
      <c r="ESQ17" s="582"/>
      <c r="ESR17" s="582"/>
      <c r="ESS17" s="582"/>
      <c r="EST17" s="582"/>
      <c r="ESU17" s="582"/>
      <c r="ESV17" s="582"/>
      <c r="ESW17" s="582"/>
      <c r="ESX17" s="582"/>
      <c r="ESY17" s="582"/>
      <c r="ESZ17" s="582"/>
      <c r="ETA17" s="582"/>
      <c r="ETB17" s="582"/>
      <c r="ETC17" s="582"/>
      <c r="ETD17" s="582"/>
      <c r="ETE17" s="582"/>
      <c r="ETF17" s="582"/>
      <c r="ETG17" s="582"/>
      <c r="ETH17" s="582"/>
      <c r="ETI17" s="582"/>
      <c r="ETJ17" s="582"/>
      <c r="ETK17" s="582"/>
      <c r="ETL17" s="582"/>
      <c r="ETM17" s="582"/>
      <c r="ETN17" s="582"/>
      <c r="ETO17" s="582"/>
      <c r="ETP17" s="582"/>
      <c r="ETQ17" s="582"/>
      <c r="ETR17" s="582"/>
      <c r="ETS17" s="582"/>
      <c r="ETT17" s="582"/>
      <c r="ETU17" s="582"/>
      <c r="ETV17" s="582"/>
      <c r="ETW17" s="582"/>
      <c r="ETX17" s="582"/>
      <c r="ETY17" s="582"/>
      <c r="ETZ17" s="582"/>
      <c r="EUA17" s="582"/>
      <c r="EUB17" s="582"/>
      <c r="EUC17" s="582"/>
      <c r="EUD17" s="582"/>
      <c r="EUE17" s="582"/>
      <c r="EUF17" s="582"/>
      <c r="EUG17" s="582"/>
      <c r="EUH17" s="582"/>
      <c r="EUI17" s="582"/>
      <c r="EUJ17" s="582"/>
      <c r="EUK17" s="582"/>
      <c r="EUL17" s="582"/>
      <c r="EUM17" s="582"/>
      <c r="EUN17" s="582"/>
      <c r="EUO17" s="582"/>
      <c r="EUP17" s="582"/>
      <c r="EUQ17" s="582"/>
      <c r="EUR17" s="582"/>
      <c r="EUS17" s="582"/>
      <c r="EUT17" s="582"/>
      <c r="EUU17" s="582"/>
      <c r="EUV17" s="582"/>
      <c r="EUW17" s="582"/>
      <c r="EUX17" s="582"/>
      <c r="EUY17" s="582"/>
      <c r="EUZ17" s="582"/>
      <c r="EVA17" s="582"/>
      <c r="EVB17" s="582"/>
      <c r="EVC17" s="582"/>
      <c r="EVD17" s="582"/>
      <c r="EVE17" s="582"/>
      <c r="EVF17" s="582"/>
      <c r="EVG17" s="582"/>
      <c r="EVH17" s="582"/>
      <c r="EVI17" s="582"/>
      <c r="EVJ17" s="582"/>
      <c r="EVK17" s="582"/>
      <c r="EVL17" s="582"/>
      <c r="EVM17" s="582"/>
      <c r="EVN17" s="582"/>
      <c r="EVO17" s="582"/>
      <c r="EVP17" s="582"/>
      <c r="EVQ17" s="582"/>
      <c r="EVR17" s="582"/>
      <c r="EVS17" s="582"/>
      <c r="EVT17" s="582"/>
      <c r="EVU17" s="582"/>
      <c r="EVV17" s="582"/>
      <c r="EVW17" s="582"/>
      <c r="EVX17" s="582"/>
      <c r="EVY17" s="582"/>
      <c r="EVZ17" s="582"/>
      <c r="EWA17" s="582"/>
      <c r="EWB17" s="582"/>
      <c r="EWC17" s="582"/>
      <c r="EWD17" s="582"/>
      <c r="EWE17" s="582"/>
      <c r="EWF17" s="582"/>
      <c r="EWG17" s="582"/>
      <c r="EWH17" s="582"/>
      <c r="EWI17" s="582"/>
      <c r="EWJ17" s="582"/>
      <c r="EWK17" s="582"/>
      <c r="EWL17" s="582"/>
      <c r="EWM17" s="582"/>
      <c r="EWN17" s="582"/>
      <c r="EWO17" s="582"/>
      <c r="EWP17" s="582"/>
      <c r="EWQ17" s="582"/>
      <c r="EWR17" s="582"/>
      <c r="EWS17" s="582"/>
      <c r="EWT17" s="582"/>
      <c r="EWU17" s="582"/>
      <c r="EWV17" s="582"/>
      <c r="EWW17" s="582"/>
      <c r="EWX17" s="582"/>
      <c r="EWY17" s="582"/>
      <c r="EWZ17" s="582"/>
      <c r="EXA17" s="582"/>
      <c r="EXB17" s="582"/>
      <c r="EXC17" s="582"/>
      <c r="EXD17" s="582"/>
      <c r="EXE17" s="582"/>
      <c r="EXF17" s="582"/>
      <c r="EXG17" s="582"/>
      <c r="EXH17" s="582"/>
      <c r="EXI17" s="582"/>
      <c r="EXJ17" s="582"/>
      <c r="EXK17" s="582"/>
      <c r="EXL17" s="582"/>
      <c r="EXM17" s="582"/>
      <c r="EXN17" s="582"/>
      <c r="EXO17" s="582"/>
      <c r="EXP17" s="582"/>
      <c r="EXQ17" s="582"/>
      <c r="EXR17" s="582"/>
      <c r="EXS17" s="582"/>
      <c r="EXT17" s="582"/>
      <c r="EXU17" s="582"/>
      <c r="EXV17" s="582"/>
      <c r="EXW17" s="582"/>
      <c r="EXX17" s="582"/>
      <c r="EXY17" s="582"/>
      <c r="EXZ17" s="582"/>
      <c r="EYA17" s="582"/>
      <c r="EYB17" s="582"/>
      <c r="EYC17" s="582"/>
      <c r="EYD17" s="582"/>
      <c r="EYE17" s="582"/>
      <c r="EYF17" s="582"/>
      <c r="EYG17" s="582"/>
      <c r="EYH17" s="582"/>
      <c r="EYI17" s="582"/>
      <c r="EYJ17" s="582"/>
      <c r="EYK17" s="582"/>
      <c r="EYL17" s="582"/>
      <c r="EYM17" s="582"/>
      <c r="EYN17" s="582"/>
      <c r="EYO17" s="582"/>
      <c r="EYP17" s="582"/>
      <c r="EYQ17" s="582"/>
      <c r="EYR17" s="582"/>
      <c r="EYS17" s="582"/>
      <c r="EYT17" s="582"/>
      <c r="EYU17" s="582"/>
      <c r="EYV17" s="582"/>
      <c r="EYW17" s="582"/>
      <c r="EYX17" s="582"/>
      <c r="EYY17" s="582"/>
      <c r="EYZ17" s="582"/>
      <c r="EZA17" s="582"/>
      <c r="EZB17" s="582"/>
      <c r="EZC17" s="582"/>
      <c r="EZD17" s="582"/>
      <c r="EZE17" s="582"/>
      <c r="EZF17" s="582"/>
      <c r="EZG17" s="582"/>
      <c r="EZH17" s="582"/>
      <c r="EZI17" s="582"/>
      <c r="EZJ17" s="582"/>
      <c r="EZK17" s="582"/>
      <c r="EZL17" s="582"/>
      <c r="EZM17" s="582"/>
      <c r="EZN17" s="582"/>
      <c r="EZO17" s="582"/>
      <c r="EZP17" s="582"/>
      <c r="EZQ17" s="582"/>
      <c r="EZR17" s="582"/>
      <c r="EZS17" s="582"/>
      <c r="EZT17" s="582"/>
      <c r="EZU17" s="582"/>
      <c r="EZV17" s="582"/>
      <c r="EZW17" s="582"/>
      <c r="EZX17" s="582"/>
      <c r="EZY17" s="582"/>
      <c r="EZZ17" s="582"/>
      <c r="FAA17" s="582"/>
      <c r="FAB17" s="582"/>
      <c r="FAC17" s="582"/>
      <c r="FAD17" s="582"/>
      <c r="FAE17" s="582"/>
      <c r="FAF17" s="582"/>
      <c r="FAG17" s="582"/>
      <c r="FAH17" s="582"/>
      <c r="FAI17" s="582"/>
      <c r="FAJ17" s="582"/>
      <c r="FAK17" s="582"/>
      <c r="FAL17" s="582"/>
      <c r="FAM17" s="582"/>
      <c r="FAN17" s="582"/>
      <c r="FAO17" s="582"/>
      <c r="FAP17" s="582"/>
      <c r="FAQ17" s="582"/>
      <c r="FAR17" s="582"/>
      <c r="FAS17" s="582"/>
      <c r="FAT17" s="582"/>
      <c r="FAU17" s="582"/>
      <c r="FAV17" s="582"/>
      <c r="FAW17" s="582"/>
      <c r="FAX17" s="582"/>
      <c r="FAY17" s="582"/>
      <c r="FAZ17" s="582"/>
      <c r="FBA17" s="582"/>
      <c r="FBB17" s="582"/>
      <c r="FBC17" s="582"/>
      <c r="FBD17" s="582"/>
      <c r="FBE17" s="582"/>
      <c r="FBF17" s="582"/>
      <c r="FBG17" s="582"/>
      <c r="FBH17" s="582"/>
      <c r="FBI17" s="582"/>
      <c r="FBJ17" s="582"/>
      <c r="FBK17" s="582"/>
      <c r="FBL17" s="582"/>
      <c r="FBM17" s="582"/>
      <c r="FBN17" s="582"/>
      <c r="FBO17" s="582"/>
      <c r="FBP17" s="582"/>
      <c r="FBQ17" s="582"/>
      <c r="FBR17" s="582"/>
      <c r="FBS17" s="582"/>
      <c r="FBT17" s="582"/>
      <c r="FBU17" s="582"/>
      <c r="FBV17" s="582"/>
      <c r="FBW17" s="582"/>
      <c r="FBX17" s="582"/>
      <c r="FBY17" s="582"/>
      <c r="FBZ17" s="582"/>
      <c r="FCA17" s="582"/>
      <c r="FCB17" s="582"/>
      <c r="FCC17" s="582"/>
      <c r="FCD17" s="582"/>
      <c r="FCE17" s="582"/>
      <c r="FCF17" s="582"/>
      <c r="FCG17" s="582"/>
      <c r="FCH17" s="582"/>
      <c r="FCI17" s="582"/>
      <c r="FCJ17" s="582"/>
      <c r="FCK17" s="582"/>
      <c r="FCL17" s="582"/>
      <c r="FCM17" s="582"/>
      <c r="FCN17" s="582"/>
      <c r="FCO17" s="582"/>
      <c r="FCP17" s="582"/>
      <c r="FCQ17" s="582"/>
      <c r="FCR17" s="582"/>
      <c r="FCS17" s="582"/>
      <c r="FCT17" s="582"/>
      <c r="FCU17" s="582"/>
      <c r="FCV17" s="582"/>
      <c r="FCW17" s="582"/>
      <c r="FCX17" s="582"/>
      <c r="FCY17" s="582"/>
      <c r="FCZ17" s="582"/>
      <c r="FDA17" s="582"/>
      <c r="FDB17" s="582"/>
      <c r="FDC17" s="582"/>
      <c r="FDD17" s="582"/>
      <c r="FDE17" s="582"/>
      <c r="FDF17" s="582"/>
      <c r="FDG17" s="582"/>
      <c r="FDH17" s="582"/>
      <c r="FDI17" s="582"/>
      <c r="FDJ17" s="582"/>
      <c r="FDK17" s="582"/>
      <c r="FDL17" s="582"/>
      <c r="FDM17" s="582"/>
      <c r="FDN17" s="582"/>
      <c r="FDO17" s="582"/>
      <c r="FDP17" s="582"/>
      <c r="FDQ17" s="582"/>
      <c r="FDR17" s="582"/>
      <c r="FDS17" s="582"/>
      <c r="FDT17" s="582"/>
      <c r="FDU17" s="582"/>
      <c r="FDV17" s="582"/>
      <c r="FDW17" s="582"/>
      <c r="FDX17" s="582"/>
      <c r="FDY17" s="582"/>
      <c r="FDZ17" s="582"/>
      <c r="FEA17" s="582"/>
      <c r="FEB17" s="582"/>
      <c r="FEC17" s="582"/>
      <c r="FED17" s="582"/>
      <c r="FEE17" s="582"/>
      <c r="FEF17" s="582"/>
      <c r="FEG17" s="582"/>
      <c r="FEH17" s="582"/>
      <c r="FEI17" s="582"/>
      <c r="FEJ17" s="582"/>
      <c r="FEK17" s="582"/>
      <c r="FEL17" s="582"/>
      <c r="FEM17" s="582"/>
      <c r="FEN17" s="582"/>
      <c r="FEO17" s="582"/>
      <c r="FEP17" s="582"/>
      <c r="FEQ17" s="582"/>
      <c r="FER17" s="582"/>
      <c r="FES17" s="582"/>
      <c r="FET17" s="582"/>
      <c r="FEU17" s="582"/>
      <c r="FEV17" s="582"/>
      <c r="FEW17" s="582"/>
      <c r="FEX17" s="582"/>
      <c r="FEY17" s="582"/>
      <c r="FEZ17" s="582"/>
      <c r="FFA17" s="582"/>
      <c r="FFB17" s="582"/>
      <c r="FFC17" s="582"/>
      <c r="FFD17" s="582"/>
      <c r="FFE17" s="582"/>
      <c r="FFF17" s="582"/>
      <c r="FFG17" s="582"/>
      <c r="FFH17" s="582"/>
      <c r="FFI17" s="582"/>
      <c r="FFJ17" s="582"/>
      <c r="FFK17" s="582"/>
      <c r="FFL17" s="582"/>
      <c r="FFM17" s="582"/>
      <c r="FFN17" s="582"/>
      <c r="FFO17" s="582"/>
      <c r="FFP17" s="582"/>
      <c r="FFQ17" s="582"/>
      <c r="FFR17" s="582"/>
      <c r="FFS17" s="582"/>
      <c r="FFT17" s="582"/>
      <c r="FFU17" s="582"/>
      <c r="FFV17" s="582"/>
      <c r="FFW17" s="582"/>
      <c r="FFX17" s="582"/>
      <c r="FFY17" s="582"/>
      <c r="FFZ17" s="582"/>
      <c r="FGA17" s="582"/>
      <c r="FGB17" s="582"/>
      <c r="FGC17" s="582"/>
      <c r="FGD17" s="582"/>
      <c r="FGE17" s="582"/>
      <c r="FGF17" s="582"/>
      <c r="FGG17" s="582"/>
      <c r="FGH17" s="582"/>
      <c r="FGI17" s="582"/>
      <c r="FGJ17" s="582"/>
      <c r="FGK17" s="582"/>
      <c r="FGL17" s="582"/>
      <c r="FGM17" s="582"/>
      <c r="FGN17" s="582"/>
      <c r="FGO17" s="582"/>
      <c r="FGP17" s="582"/>
      <c r="FGQ17" s="582"/>
      <c r="FGR17" s="582"/>
      <c r="FGS17" s="582"/>
      <c r="FGT17" s="582"/>
      <c r="FGU17" s="582"/>
      <c r="FGV17" s="582"/>
      <c r="FGW17" s="582"/>
      <c r="FGX17" s="582"/>
      <c r="FGY17" s="582"/>
      <c r="FGZ17" s="582"/>
      <c r="FHA17" s="582"/>
      <c r="FHB17" s="582"/>
      <c r="FHC17" s="582"/>
      <c r="FHD17" s="582"/>
      <c r="FHE17" s="582"/>
      <c r="FHF17" s="582"/>
      <c r="FHG17" s="582"/>
      <c r="FHH17" s="582"/>
      <c r="FHI17" s="582"/>
      <c r="FHJ17" s="582"/>
      <c r="FHK17" s="582"/>
      <c r="FHL17" s="582"/>
      <c r="FHM17" s="582"/>
      <c r="FHN17" s="582"/>
      <c r="FHO17" s="582"/>
      <c r="FHP17" s="582"/>
      <c r="FHQ17" s="582"/>
      <c r="FHR17" s="582"/>
      <c r="FHS17" s="582"/>
      <c r="FHT17" s="582"/>
      <c r="FHU17" s="582"/>
      <c r="FHV17" s="582"/>
      <c r="FHW17" s="582"/>
      <c r="FHX17" s="582"/>
      <c r="FHY17" s="582"/>
      <c r="FHZ17" s="582"/>
      <c r="FIA17" s="582"/>
      <c r="FIB17" s="582"/>
      <c r="FIC17" s="582"/>
      <c r="FID17" s="582"/>
      <c r="FIE17" s="582"/>
      <c r="FIF17" s="582"/>
      <c r="FIG17" s="582"/>
      <c r="FIH17" s="582"/>
      <c r="FII17" s="582"/>
      <c r="FIJ17" s="582"/>
      <c r="FIK17" s="582"/>
      <c r="FIL17" s="582"/>
      <c r="FIM17" s="582"/>
      <c r="FIN17" s="582"/>
      <c r="FIO17" s="582"/>
      <c r="FIP17" s="582"/>
      <c r="FIQ17" s="582"/>
      <c r="FIR17" s="582"/>
      <c r="FIS17" s="582"/>
      <c r="FIT17" s="582"/>
      <c r="FIU17" s="582"/>
      <c r="FIV17" s="582"/>
      <c r="FIW17" s="582"/>
      <c r="FIX17" s="582"/>
      <c r="FIY17" s="582"/>
      <c r="FIZ17" s="582"/>
      <c r="FJA17" s="582"/>
      <c r="FJB17" s="582"/>
      <c r="FJC17" s="582"/>
      <c r="FJD17" s="582"/>
      <c r="FJE17" s="582"/>
      <c r="FJF17" s="582"/>
      <c r="FJG17" s="582"/>
      <c r="FJH17" s="582"/>
      <c r="FJI17" s="582"/>
      <c r="FJJ17" s="582"/>
      <c r="FJK17" s="582"/>
      <c r="FJL17" s="582"/>
      <c r="FJM17" s="582"/>
      <c r="FJN17" s="582"/>
      <c r="FJO17" s="582"/>
      <c r="FJP17" s="582"/>
      <c r="FJQ17" s="582"/>
      <c r="FJR17" s="582"/>
      <c r="FJS17" s="582"/>
      <c r="FJT17" s="582"/>
      <c r="FJU17" s="582"/>
      <c r="FJV17" s="582"/>
      <c r="FJW17" s="582"/>
      <c r="FJX17" s="582"/>
      <c r="FJY17" s="582"/>
      <c r="FJZ17" s="582"/>
      <c r="FKA17" s="582"/>
      <c r="FKB17" s="582"/>
      <c r="FKC17" s="582"/>
      <c r="FKD17" s="582"/>
      <c r="FKE17" s="582"/>
      <c r="FKF17" s="582"/>
      <c r="FKG17" s="582"/>
      <c r="FKH17" s="582"/>
      <c r="FKI17" s="582"/>
      <c r="FKJ17" s="582"/>
      <c r="FKK17" s="582"/>
      <c r="FKL17" s="582"/>
      <c r="FKM17" s="582"/>
      <c r="FKN17" s="582"/>
      <c r="FKO17" s="582"/>
      <c r="FKP17" s="582"/>
      <c r="FKQ17" s="582"/>
      <c r="FKR17" s="582"/>
      <c r="FKS17" s="582"/>
      <c r="FKT17" s="582"/>
      <c r="FKU17" s="582"/>
      <c r="FKV17" s="582"/>
      <c r="FKW17" s="582"/>
      <c r="FKX17" s="582"/>
      <c r="FKY17" s="582"/>
      <c r="FKZ17" s="582"/>
      <c r="FLA17" s="582"/>
      <c r="FLB17" s="582"/>
      <c r="FLC17" s="582"/>
      <c r="FLD17" s="582"/>
      <c r="FLE17" s="582"/>
      <c r="FLF17" s="582"/>
      <c r="FLG17" s="582"/>
      <c r="FLH17" s="582"/>
      <c r="FLI17" s="582"/>
      <c r="FLJ17" s="582"/>
      <c r="FLK17" s="582"/>
      <c r="FLL17" s="582"/>
      <c r="FLM17" s="582"/>
      <c r="FLN17" s="582"/>
      <c r="FLO17" s="582"/>
      <c r="FLP17" s="582"/>
      <c r="FLQ17" s="582"/>
      <c r="FLR17" s="582"/>
      <c r="FLS17" s="582"/>
      <c r="FLT17" s="582"/>
      <c r="FLU17" s="582"/>
      <c r="FLV17" s="582"/>
      <c r="FLW17" s="582"/>
      <c r="FLX17" s="582"/>
      <c r="FLY17" s="582"/>
      <c r="FLZ17" s="582"/>
      <c r="FMA17" s="582"/>
      <c r="FMB17" s="582"/>
      <c r="FMC17" s="582"/>
      <c r="FMD17" s="582"/>
      <c r="FME17" s="582"/>
      <c r="FMF17" s="582"/>
      <c r="FMG17" s="582"/>
      <c r="FMH17" s="582"/>
      <c r="FMI17" s="582"/>
      <c r="FMJ17" s="582"/>
      <c r="FMK17" s="582"/>
      <c r="FML17" s="582"/>
      <c r="FMM17" s="582"/>
      <c r="FMN17" s="582"/>
      <c r="FMO17" s="582"/>
      <c r="FMP17" s="582"/>
      <c r="FMQ17" s="582"/>
      <c r="FMR17" s="582"/>
      <c r="FMS17" s="582"/>
      <c r="FMT17" s="582"/>
      <c r="FMU17" s="582"/>
      <c r="FMV17" s="582"/>
      <c r="FMW17" s="582"/>
      <c r="FMX17" s="582"/>
      <c r="FMY17" s="582"/>
      <c r="FMZ17" s="582"/>
      <c r="FNA17" s="582"/>
      <c r="FNB17" s="582"/>
      <c r="FNC17" s="582"/>
      <c r="FND17" s="582"/>
      <c r="FNE17" s="582"/>
      <c r="FNF17" s="582"/>
      <c r="FNG17" s="582"/>
      <c r="FNH17" s="582"/>
      <c r="FNI17" s="582"/>
      <c r="FNJ17" s="582"/>
      <c r="FNK17" s="582"/>
      <c r="FNL17" s="582"/>
      <c r="FNM17" s="582"/>
      <c r="FNN17" s="582"/>
      <c r="FNO17" s="582"/>
      <c r="FNP17" s="582"/>
      <c r="FNQ17" s="582"/>
      <c r="FNR17" s="582"/>
      <c r="FNS17" s="582"/>
      <c r="FNT17" s="582"/>
      <c r="FNU17" s="582"/>
      <c r="FNV17" s="582"/>
      <c r="FNW17" s="582"/>
      <c r="FNX17" s="582"/>
      <c r="FNY17" s="582"/>
      <c r="FNZ17" s="582"/>
      <c r="FOA17" s="582"/>
      <c r="FOB17" s="582"/>
      <c r="FOC17" s="582"/>
      <c r="FOD17" s="582"/>
      <c r="FOE17" s="582"/>
      <c r="FOF17" s="582"/>
      <c r="FOG17" s="582"/>
      <c r="FOH17" s="582"/>
      <c r="FOI17" s="582"/>
      <c r="FOJ17" s="582"/>
      <c r="FOK17" s="582"/>
      <c r="FOL17" s="582"/>
      <c r="FOM17" s="582"/>
      <c r="FON17" s="582"/>
      <c r="FOO17" s="582"/>
      <c r="FOP17" s="582"/>
      <c r="FOQ17" s="582"/>
      <c r="FOR17" s="582"/>
      <c r="FOS17" s="582"/>
      <c r="FOT17" s="582"/>
      <c r="FOU17" s="582"/>
      <c r="FOV17" s="582"/>
      <c r="FOW17" s="582"/>
      <c r="FOX17" s="582"/>
      <c r="FOY17" s="582"/>
      <c r="FOZ17" s="582"/>
      <c r="FPA17" s="582"/>
      <c r="FPB17" s="582"/>
      <c r="FPC17" s="582"/>
      <c r="FPD17" s="582"/>
      <c r="FPE17" s="582"/>
      <c r="FPF17" s="582"/>
      <c r="FPG17" s="582"/>
      <c r="FPH17" s="582"/>
      <c r="FPI17" s="582"/>
      <c r="FPJ17" s="582"/>
      <c r="FPK17" s="582"/>
      <c r="FPL17" s="582"/>
      <c r="FPM17" s="582"/>
      <c r="FPN17" s="582"/>
      <c r="FPO17" s="582"/>
      <c r="FPP17" s="582"/>
      <c r="FPQ17" s="582"/>
      <c r="FPR17" s="582"/>
      <c r="FPS17" s="582"/>
      <c r="FPT17" s="582"/>
      <c r="FPU17" s="582"/>
      <c r="FPV17" s="582"/>
      <c r="FPW17" s="582"/>
      <c r="FPX17" s="582"/>
      <c r="FPY17" s="582"/>
      <c r="FPZ17" s="582"/>
      <c r="FQA17" s="582"/>
      <c r="FQB17" s="582"/>
      <c r="FQC17" s="582"/>
      <c r="FQD17" s="582"/>
      <c r="FQE17" s="582"/>
      <c r="FQF17" s="582"/>
      <c r="FQG17" s="582"/>
      <c r="FQH17" s="582"/>
      <c r="FQI17" s="582"/>
      <c r="FQJ17" s="582"/>
      <c r="FQK17" s="582"/>
      <c r="FQL17" s="582"/>
      <c r="FQM17" s="582"/>
      <c r="FQN17" s="582"/>
      <c r="FQO17" s="582"/>
      <c r="FQP17" s="582"/>
      <c r="FQQ17" s="582"/>
      <c r="FQR17" s="582"/>
      <c r="FQS17" s="582"/>
      <c r="FQT17" s="582"/>
      <c r="FQU17" s="582"/>
      <c r="FQV17" s="582"/>
      <c r="FQW17" s="582"/>
      <c r="FQX17" s="582"/>
      <c r="FQY17" s="582"/>
      <c r="FQZ17" s="582"/>
      <c r="FRA17" s="582"/>
      <c r="FRB17" s="582"/>
      <c r="FRC17" s="582"/>
      <c r="FRD17" s="582"/>
      <c r="FRE17" s="582"/>
      <c r="FRF17" s="582"/>
      <c r="FRG17" s="582"/>
      <c r="FRH17" s="582"/>
      <c r="FRI17" s="582"/>
      <c r="FRJ17" s="582"/>
      <c r="FRK17" s="582"/>
      <c r="FRL17" s="582"/>
      <c r="FRM17" s="582"/>
      <c r="FRN17" s="582"/>
      <c r="FRO17" s="582"/>
      <c r="FRP17" s="582"/>
      <c r="FRQ17" s="582"/>
      <c r="FRR17" s="582"/>
      <c r="FRS17" s="582"/>
      <c r="FRT17" s="582"/>
      <c r="FRU17" s="582"/>
      <c r="FRV17" s="582"/>
      <c r="FRW17" s="582"/>
      <c r="FRX17" s="582"/>
      <c r="FRY17" s="582"/>
      <c r="FRZ17" s="582"/>
      <c r="FSA17" s="582"/>
      <c r="FSB17" s="582"/>
      <c r="FSC17" s="582"/>
      <c r="FSD17" s="582"/>
      <c r="FSE17" s="582"/>
      <c r="FSF17" s="582"/>
      <c r="FSG17" s="582"/>
      <c r="FSH17" s="582"/>
      <c r="FSI17" s="582"/>
      <c r="FSJ17" s="582"/>
      <c r="FSK17" s="582"/>
      <c r="FSL17" s="582"/>
      <c r="FSM17" s="582"/>
      <c r="FSN17" s="582"/>
      <c r="FSO17" s="582"/>
      <c r="FSP17" s="582"/>
      <c r="FSQ17" s="582"/>
      <c r="FSR17" s="582"/>
      <c r="FSS17" s="582"/>
      <c r="FST17" s="582"/>
      <c r="FSU17" s="582"/>
      <c r="FSV17" s="582"/>
      <c r="FSW17" s="582"/>
      <c r="FSX17" s="582"/>
      <c r="FSY17" s="582"/>
      <c r="FSZ17" s="582"/>
      <c r="FTA17" s="582"/>
      <c r="FTB17" s="582"/>
      <c r="FTC17" s="582"/>
      <c r="FTD17" s="582"/>
      <c r="FTE17" s="582"/>
      <c r="FTF17" s="582"/>
      <c r="FTG17" s="582"/>
      <c r="FTH17" s="582"/>
      <c r="FTI17" s="582"/>
      <c r="FTJ17" s="582"/>
      <c r="FTK17" s="582"/>
      <c r="FTL17" s="582"/>
      <c r="FTM17" s="582"/>
      <c r="FTN17" s="582"/>
      <c r="FTO17" s="582"/>
      <c r="FTP17" s="582"/>
      <c r="FTQ17" s="582"/>
      <c r="FTR17" s="582"/>
      <c r="FTS17" s="582"/>
      <c r="FTT17" s="582"/>
      <c r="FTU17" s="582"/>
      <c r="FTV17" s="582"/>
      <c r="FTW17" s="582"/>
      <c r="FTX17" s="582"/>
      <c r="FTY17" s="582"/>
      <c r="FTZ17" s="582"/>
      <c r="FUA17" s="582"/>
      <c r="FUB17" s="582"/>
      <c r="FUC17" s="582"/>
      <c r="FUD17" s="582"/>
      <c r="FUE17" s="582"/>
      <c r="FUF17" s="582"/>
      <c r="FUG17" s="582"/>
      <c r="FUH17" s="582"/>
      <c r="FUI17" s="582"/>
      <c r="FUJ17" s="582"/>
      <c r="FUK17" s="582"/>
      <c r="FUL17" s="582"/>
      <c r="FUM17" s="582"/>
      <c r="FUN17" s="582"/>
      <c r="FUO17" s="582"/>
      <c r="FUP17" s="582"/>
      <c r="FUQ17" s="582"/>
      <c r="FUR17" s="582"/>
      <c r="FUS17" s="582"/>
      <c r="FUT17" s="582"/>
      <c r="FUU17" s="582"/>
      <c r="FUV17" s="582"/>
      <c r="FUW17" s="582"/>
      <c r="FUX17" s="582"/>
      <c r="FUY17" s="582"/>
      <c r="FUZ17" s="582"/>
      <c r="FVA17" s="582"/>
      <c r="FVB17" s="582"/>
      <c r="FVC17" s="582"/>
      <c r="FVD17" s="582"/>
      <c r="FVE17" s="582"/>
      <c r="FVF17" s="582"/>
      <c r="FVG17" s="582"/>
      <c r="FVH17" s="582"/>
      <c r="FVI17" s="582"/>
      <c r="FVJ17" s="582"/>
      <c r="FVK17" s="582"/>
      <c r="FVL17" s="582"/>
      <c r="FVM17" s="582"/>
      <c r="FVN17" s="582"/>
      <c r="FVO17" s="582"/>
      <c r="FVP17" s="582"/>
      <c r="FVQ17" s="582"/>
      <c r="FVR17" s="582"/>
      <c r="FVS17" s="582"/>
      <c r="FVT17" s="582"/>
      <c r="FVU17" s="582"/>
      <c r="FVV17" s="582"/>
      <c r="FVW17" s="582"/>
      <c r="FVX17" s="582"/>
      <c r="FVY17" s="582"/>
      <c r="FVZ17" s="582"/>
      <c r="FWA17" s="582"/>
      <c r="FWB17" s="582"/>
      <c r="FWC17" s="582"/>
      <c r="FWD17" s="582"/>
      <c r="FWE17" s="582"/>
      <c r="FWF17" s="582"/>
      <c r="FWG17" s="582"/>
      <c r="FWH17" s="582"/>
      <c r="FWI17" s="582"/>
      <c r="FWJ17" s="582"/>
      <c r="FWK17" s="582"/>
      <c r="FWL17" s="582"/>
      <c r="FWM17" s="582"/>
      <c r="FWN17" s="582"/>
      <c r="FWO17" s="582"/>
      <c r="FWP17" s="582"/>
      <c r="FWQ17" s="582"/>
      <c r="FWR17" s="582"/>
      <c r="FWS17" s="582"/>
      <c r="FWT17" s="582"/>
      <c r="FWU17" s="582"/>
      <c r="FWV17" s="582"/>
      <c r="FWW17" s="582"/>
      <c r="FWX17" s="582"/>
      <c r="FWY17" s="582"/>
      <c r="FWZ17" s="582"/>
      <c r="FXA17" s="582"/>
      <c r="FXB17" s="582"/>
      <c r="FXC17" s="582"/>
      <c r="FXD17" s="582"/>
      <c r="FXE17" s="582"/>
      <c r="FXF17" s="582"/>
      <c r="FXG17" s="582"/>
      <c r="FXH17" s="582"/>
      <c r="FXI17" s="582"/>
      <c r="FXJ17" s="582"/>
      <c r="FXK17" s="582"/>
      <c r="FXL17" s="582"/>
      <c r="FXM17" s="582"/>
      <c r="FXN17" s="582"/>
      <c r="FXO17" s="582"/>
      <c r="FXP17" s="582"/>
      <c r="FXQ17" s="582"/>
      <c r="FXR17" s="582"/>
      <c r="FXS17" s="582"/>
      <c r="FXT17" s="582"/>
      <c r="FXU17" s="582"/>
      <c r="FXV17" s="582"/>
      <c r="FXW17" s="582"/>
      <c r="FXX17" s="582"/>
      <c r="FXY17" s="582"/>
      <c r="FXZ17" s="582"/>
      <c r="FYA17" s="582"/>
      <c r="FYB17" s="582"/>
      <c r="FYC17" s="582"/>
      <c r="FYD17" s="582"/>
      <c r="FYE17" s="582"/>
      <c r="FYF17" s="582"/>
      <c r="FYG17" s="582"/>
      <c r="FYH17" s="582"/>
      <c r="FYI17" s="582"/>
      <c r="FYJ17" s="582"/>
      <c r="FYK17" s="582"/>
      <c r="FYL17" s="582"/>
      <c r="FYM17" s="582"/>
      <c r="FYN17" s="582"/>
      <c r="FYO17" s="582"/>
      <c r="FYP17" s="582"/>
      <c r="FYQ17" s="582"/>
      <c r="FYR17" s="582"/>
      <c r="FYS17" s="582"/>
      <c r="FYT17" s="582"/>
      <c r="FYU17" s="582"/>
      <c r="FYV17" s="582"/>
      <c r="FYW17" s="582"/>
      <c r="FYX17" s="582"/>
      <c r="FYY17" s="582"/>
      <c r="FYZ17" s="582"/>
      <c r="FZA17" s="582"/>
      <c r="FZB17" s="582"/>
      <c r="FZC17" s="582"/>
      <c r="FZD17" s="582"/>
      <c r="FZE17" s="582"/>
      <c r="FZF17" s="582"/>
      <c r="FZG17" s="582"/>
      <c r="FZH17" s="582"/>
      <c r="FZI17" s="582"/>
      <c r="FZJ17" s="582"/>
      <c r="FZK17" s="582"/>
      <c r="FZL17" s="582"/>
      <c r="FZM17" s="582"/>
      <c r="FZN17" s="582"/>
      <c r="FZO17" s="582"/>
      <c r="FZP17" s="582"/>
      <c r="FZQ17" s="582"/>
      <c r="FZR17" s="582"/>
      <c r="FZS17" s="582"/>
      <c r="FZT17" s="582"/>
      <c r="FZU17" s="582"/>
      <c r="FZV17" s="582"/>
      <c r="FZW17" s="582"/>
      <c r="FZX17" s="582"/>
      <c r="FZY17" s="582"/>
      <c r="FZZ17" s="582"/>
      <c r="GAA17" s="582"/>
      <c r="GAB17" s="582"/>
      <c r="GAC17" s="582"/>
      <c r="GAD17" s="582"/>
      <c r="GAE17" s="582"/>
      <c r="GAF17" s="582"/>
      <c r="GAG17" s="582"/>
      <c r="GAH17" s="582"/>
      <c r="GAI17" s="582"/>
      <c r="GAJ17" s="582"/>
      <c r="GAK17" s="582"/>
      <c r="GAL17" s="582"/>
      <c r="GAM17" s="582"/>
      <c r="GAN17" s="582"/>
      <c r="GAO17" s="582"/>
      <c r="GAP17" s="582"/>
      <c r="GAQ17" s="582"/>
      <c r="GAR17" s="582"/>
      <c r="GAS17" s="582"/>
      <c r="GAT17" s="582"/>
      <c r="GAU17" s="582"/>
      <c r="GAV17" s="582"/>
      <c r="GAW17" s="582"/>
      <c r="GAX17" s="582"/>
      <c r="GAY17" s="582"/>
      <c r="GAZ17" s="582"/>
      <c r="GBA17" s="582"/>
      <c r="GBB17" s="582"/>
      <c r="GBC17" s="582"/>
      <c r="GBD17" s="582"/>
      <c r="GBE17" s="582"/>
      <c r="GBF17" s="582"/>
      <c r="GBG17" s="582"/>
      <c r="GBH17" s="582"/>
      <c r="GBI17" s="582"/>
      <c r="GBJ17" s="582"/>
      <c r="GBK17" s="582"/>
      <c r="GBL17" s="582"/>
      <c r="GBM17" s="582"/>
      <c r="GBN17" s="582"/>
      <c r="GBO17" s="582"/>
      <c r="GBP17" s="582"/>
      <c r="GBQ17" s="582"/>
      <c r="GBR17" s="582"/>
      <c r="GBS17" s="582"/>
      <c r="GBT17" s="582"/>
      <c r="GBU17" s="582"/>
      <c r="GBV17" s="582"/>
      <c r="GBW17" s="582"/>
      <c r="GBX17" s="582"/>
      <c r="GBY17" s="582"/>
      <c r="GBZ17" s="582"/>
      <c r="GCA17" s="582"/>
      <c r="GCB17" s="582"/>
      <c r="GCC17" s="582"/>
      <c r="GCD17" s="582"/>
      <c r="GCE17" s="582"/>
      <c r="GCF17" s="582"/>
      <c r="GCG17" s="582"/>
      <c r="GCH17" s="582"/>
      <c r="GCI17" s="582"/>
      <c r="GCJ17" s="582"/>
      <c r="GCK17" s="582"/>
      <c r="GCL17" s="582"/>
      <c r="GCM17" s="582"/>
      <c r="GCN17" s="582"/>
      <c r="GCO17" s="582"/>
      <c r="GCP17" s="582"/>
      <c r="GCQ17" s="582"/>
      <c r="GCR17" s="582"/>
      <c r="GCS17" s="582"/>
      <c r="GCT17" s="582"/>
      <c r="GCU17" s="582"/>
      <c r="GCV17" s="582"/>
      <c r="GCW17" s="582"/>
      <c r="GCX17" s="582"/>
      <c r="GCY17" s="582"/>
      <c r="GCZ17" s="582"/>
      <c r="GDA17" s="582"/>
      <c r="GDB17" s="582"/>
      <c r="GDC17" s="582"/>
      <c r="GDD17" s="582"/>
      <c r="GDE17" s="582"/>
      <c r="GDF17" s="582"/>
      <c r="GDG17" s="582"/>
      <c r="GDH17" s="582"/>
      <c r="GDI17" s="582"/>
      <c r="GDJ17" s="582"/>
      <c r="GDK17" s="582"/>
      <c r="GDL17" s="582"/>
      <c r="GDM17" s="582"/>
      <c r="GDN17" s="582"/>
      <c r="GDO17" s="582"/>
      <c r="GDP17" s="582"/>
      <c r="GDQ17" s="582"/>
      <c r="GDR17" s="582"/>
      <c r="GDS17" s="582"/>
      <c r="GDT17" s="582"/>
      <c r="GDU17" s="582"/>
      <c r="GDV17" s="582"/>
      <c r="GDW17" s="582"/>
      <c r="GDX17" s="582"/>
      <c r="GDY17" s="582"/>
      <c r="GDZ17" s="582"/>
      <c r="GEA17" s="582"/>
      <c r="GEB17" s="582"/>
      <c r="GEC17" s="582"/>
      <c r="GED17" s="582"/>
      <c r="GEE17" s="582"/>
      <c r="GEF17" s="582"/>
      <c r="GEG17" s="582"/>
      <c r="GEH17" s="582"/>
      <c r="GEI17" s="582"/>
      <c r="GEJ17" s="582"/>
      <c r="GEK17" s="582"/>
      <c r="GEL17" s="582"/>
      <c r="GEM17" s="582"/>
      <c r="GEN17" s="582"/>
      <c r="GEO17" s="582"/>
      <c r="GEP17" s="582"/>
      <c r="GEQ17" s="582"/>
      <c r="GER17" s="582"/>
      <c r="GES17" s="582"/>
      <c r="GET17" s="582"/>
      <c r="GEU17" s="582"/>
      <c r="GEV17" s="582"/>
      <c r="GEW17" s="582"/>
      <c r="GEX17" s="582"/>
      <c r="GEY17" s="582"/>
      <c r="GEZ17" s="582"/>
      <c r="GFA17" s="582"/>
      <c r="GFB17" s="582"/>
      <c r="GFC17" s="582"/>
      <c r="GFD17" s="582"/>
      <c r="GFE17" s="582"/>
      <c r="GFF17" s="582"/>
      <c r="GFG17" s="582"/>
      <c r="GFH17" s="582"/>
      <c r="GFI17" s="582"/>
      <c r="GFJ17" s="582"/>
      <c r="GFK17" s="582"/>
      <c r="GFL17" s="582"/>
      <c r="GFM17" s="582"/>
      <c r="GFN17" s="582"/>
      <c r="GFO17" s="582"/>
      <c r="GFP17" s="582"/>
      <c r="GFQ17" s="582"/>
      <c r="GFR17" s="582"/>
      <c r="GFS17" s="582"/>
      <c r="GFT17" s="582"/>
      <c r="GFU17" s="582"/>
      <c r="GFV17" s="582"/>
      <c r="GFW17" s="582"/>
      <c r="GFX17" s="582"/>
      <c r="GFY17" s="582"/>
      <c r="GFZ17" s="582"/>
      <c r="GGA17" s="582"/>
      <c r="GGB17" s="582"/>
      <c r="GGC17" s="582"/>
      <c r="GGD17" s="582"/>
      <c r="GGE17" s="582"/>
      <c r="GGF17" s="582"/>
      <c r="GGG17" s="582"/>
      <c r="GGH17" s="582"/>
      <c r="GGI17" s="582"/>
      <c r="GGJ17" s="582"/>
      <c r="GGK17" s="582"/>
      <c r="GGL17" s="582"/>
      <c r="GGM17" s="582"/>
      <c r="GGN17" s="582"/>
      <c r="GGO17" s="582"/>
      <c r="GGP17" s="582"/>
      <c r="GGQ17" s="582"/>
      <c r="GGR17" s="582"/>
      <c r="GGS17" s="582"/>
      <c r="GGT17" s="582"/>
      <c r="GGU17" s="582"/>
      <c r="GGV17" s="582"/>
      <c r="GGW17" s="582"/>
      <c r="GGX17" s="582"/>
      <c r="GGY17" s="582"/>
      <c r="GGZ17" s="582"/>
      <c r="GHA17" s="582"/>
      <c r="GHB17" s="582"/>
      <c r="GHC17" s="582"/>
      <c r="GHD17" s="582"/>
      <c r="GHE17" s="582"/>
      <c r="GHF17" s="582"/>
      <c r="GHG17" s="582"/>
      <c r="GHH17" s="582"/>
      <c r="GHI17" s="582"/>
      <c r="GHJ17" s="582"/>
      <c r="GHK17" s="582"/>
      <c r="GHL17" s="582"/>
      <c r="GHM17" s="582"/>
      <c r="GHN17" s="582"/>
      <c r="GHO17" s="582"/>
      <c r="GHP17" s="582"/>
      <c r="GHQ17" s="582"/>
      <c r="GHR17" s="582"/>
      <c r="GHS17" s="582"/>
      <c r="GHT17" s="582"/>
      <c r="GHU17" s="582"/>
      <c r="GHV17" s="582"/>
      <c r="GHW17" s="582"/>
      <c r="GHX17" s="582"/>
      <c r="GHY17" s="582"/>
      <c r="GHZ17" s="582"/>
      <c r="GIA17" s="582"/>
      <c r="GIB17" s="582"/>
      <c r="GIC17" s="582"/>
      <c r="GID17" s="582"/>
      <c r="GIE17" s="582"/>
      <c r="GIF17" s="582"/>
      <c r="GIG17" s="582"/>
      <c r="GIH17" s="582"/>
      <c r="GII17" s="582"/>
      <c r="GIJ17" s="582"/>
      <c r="GIK17" s="582"/>
      <c r="GIL17" s="582"/>
      <c r="GIM17" s="582"/>
      <c r="GIN17" s="582"/>
      <c r="GIO17" s="582"/>
      <c r="GIP17" s="582"/>
      <c r="GIQ17" s="582"/>
      <c r="GIR17" s="582"/>
      <c r="GIS17" s="582"/>
      <c r="GIT17" s="582"/>
      <c r="GIU17" s="582"/>
      <c r="GIV17" s="582"/>
      <c r="GIW17" s="582"/>
      <c r="GIX17" s="582"/>
      <c r="GIY17" s="582"/>
      <c r="GIZ17" s="582"/>
      <c r="GJA17" s="582"/>
      <c r="GJB17" s="582"/>
      <c r="GJC17" s="582"/>
      <c r="GJD17" s="582"/>
      <c r="GJE17" s="582"/>
      <c r="GJF17" s="582"/>
      <c r="GJG17" s="582"/>
      <c r="GJH17" s="582"/>
      <c r="GJI17" s="582"/>
      <c r="GJJ17" s="582"/>
      <c r="GJK17" s="582"/>
      <c r="GJL17" s="582"/>
      <c r="GJM17" s="582"/>
      <c r="GJN17" s="582"/>
      <c r="GJO17" s="582"/>
      <c r="GJP17" s="582"/>
      <c r="GJQ17" s="582"/>
      <c r="GJR17" s="582"/>
      <c r="GJS17" s="582"/>
      <c r="GJT17" s="582"/>
      <c r="GJU17" s="582"/>
      <c r="GJV17" s="582"/>
      <c r="GJW17" s="582"/>
      <c r="GJX17" s="582"/>
      <c r="GJY17" s="582"/>
      <c r="GJZ17" s="582"/>
      <c r="GKA17" s="582"/>
      <c r="GKB17" s="582"/>
      <c r="GKC17" s="582"/>
      <c r="GKD17" s="582"/>
      <c r="GKE17" s="582"/>
      <c r="GKF17" s="582"/>
      <c r="GKG17" s="582"/>
      <c r="GKH17" s="582"/>
      <c r="GKI17" s="582"/>
      <c r="GKJ17" s="582"/>
      <c r="GKK17" s="582"/>
      <c r="GKL17" s="582"/>
      <c r="GKM17" s="582"/>
      <c r="GKN17" s="582"/>
      <c r="GKO17" s="582"/>
      <c r="GKP17" s="582"/>
      <c r="GKQ17" s="582"/>
      <c r="GKR17" s="582"/>
      <c r="GKS17" s="582"/>
      <c r="GKT17" s="582"/>
      <c r="GKU17" s="582"/>
      <c r="GKV17" s="582"/>
      <c r="GKW17" s="582"/>
      <c r="GKX17" s="582"/>
      <c r="GKY17" s="582"/>
      <c r="GKZ17" s="582"/>
      <c r="GLA17" s="582"/>
      <c r="GLB17" s="582"/>
      <c r="GLC17" s="582"/>
      <c r="GLD17" s="582"/>
      <c r="GLE17" s="582"/>
      <c r="GLF17" s="582"/>
      <c r="GLG17" s="582"/>
      <c r="GLH17" s="582"/>
      <c r="GLI17" s="582"/>
      <c r="GLJ17" s="582"/>
      <c r="GLK17" s="582"/>
      <c r="GLL17" s="582"/>
      <c r="GLM17" s="582"/>
      <c r="GLN17" s="582"/>
      <c r="GLO17" s="582"/>
      <c r="GLP17" s="582"/>
      <c r="GLQ17" s="582"/>
      <c r="GLR17" s="582"/>
      <c r="GLS17" s="582"/>
      <c r="GLT17" s="582"/>
      <c r="GLU17" s="582"/>
      <c r="GLV17" s="582"/>
      <c r="GLW17" s="582"/>
      <c r="GLX17" s="582"/>
      <c r="GLY17" s="582"/>
      <c r="GLZ17" s="582"/>
      <c r="GMA17" s="582"/>
      <c r="GMB17" s="582"/>
      <c r="GMC17" s="582"/>
      <c r="GMD17" s="582"/>
      <c r="GME17" s="582"/>
      <c r="GMF17" s="582"/>
      <c r="GMG17" s="582"/>
      <c r="GMH17" s="582"/>
      <c r="GMI17" s="582"/>
      <c r="GMJ17" s="582"/>
      <c r="GMK17" s="582"/>
      <c r="GML17" s="582"/>
      <c r="GMM17" s="582"/>
      <c r="GMN17" s="582"/>
      <c r="GMO17" s="582"/>
      <c r="GMP17" s="582"/>
      <c r="GMQ17" s="582"/>
      <c r="GMR17" s="582"/>
      <c r="GMS17" s="582"/>
      <c r="GMT17" s="582"/>
      <c r="GMU17" s="582"/>
      <c r="GMV17" s="582"/>
      <c r="GMW17" s="582"/>
      <c r="GMX17" s="582"/>
      <c r="GMY17" s="582"/>
      <c r="GMZ17" s="582"/>
      <c r="GNA17" s="582"/>
      <c r="GNB17" s="582"/>
      <c r="GNC17" s="582"/>
      <c r="GND17" s="582"/>
      <c r="GNE17" s="582"/>
      <c r="GNF17" s="582"/>
      <c r="GNG17" s="582"/>
      <c r="GNH17" s="582"/>
      <c r="GNI17" s="582"/>
      <c r="GNJ17" s="582"/>
      <c r="GNK17" s="582"/>
      <c r="GNL17" s="582"/>
      <c r="GNM17" s="582"/>
      <c r="GNN17" s="582"/>
      <c r="GNO17" s="582"/>
      <c r="GNP17" s="582"/>
      <c r="GNQ17" s="582"/>
      <c r="GNR17" s="582"/>
      <c r="GNS17" s="582"/>
      <c r="GNT17" s="582"/>
      <c r="GNU17" s="582"/>
      <c r="GNV17" s="582"/>
      <c r="GNW17" s="582"/>
      <c r="GNX17" s="582"/>
      <c r="GNY17" s="582"/>
      <c r="GNZ17" s="582"/>
      <c r="GOA17" s="582"/>
      <c r="GOB17" s="582"/>
      <c r="GOC17" s="582"/>
      <c r="GOD17" s="582"/>
      <c r="GOE17" s="582"/>
      <c r="GOF17" s="582"/>
      <c r="GOG17" s="582"/>
      <c r="GOH17" s="582"/>
      <c r="GOI17" s="582"/>
      <c r="GOJ17" s="582"/>
      <c r="GOK17" s="582"/>
      <c r="GOL17" s="582"/>
      <c r="GOM17" s="582"/>
      <c r="GON17" s="582"/>
      <c r="GOO17" s="582"/>
      <c r="GOP17" s="582"/>
      <c r="GOQ17" s="582"/>
      <c r="GOR17" s="582"/>
      <c r="GOS17" s="582"/>
      <c r="GOT17" s="582"/>
      <c r="GOU17" s="582"/>
      <c r="GOV17" s="582"/>
      <c r="GOW17" s="582"/>
      <c r="GOX17" s="582"/>
      <c r="GOY17" s="582"/>
      <c r="GOZ17" s="582"/>
      <c r="GPA17" s="582"/>
      <c r="GPB17" s="582"/>
      <c r="GPC17" s="582"/>
      <c r="GPD17" s="582"/>
      <c r="GPE17" s="582"/>
      <c r="GPF17" s="582"/>
      <c r="GPG17" s="582"/>
      <c r="GPH17" s="582"/>
      <c r="GPI17" s="582"/>
      <c r="GPJ17" s="582"/>
      <c r="GPK17" s="582"/>
      <c r="GPL17" s="582"/>
      <c r="GPM17" s="582"/>
      <c r="GPN17" s="582"/>
      <c r="GPO17" s="582"/>
      <c r="GPP17" s="582"/>
      <c r="GPQ17" s="582"/>
      <c r="GPR17" s="582"/>
      <c r="GPS17" s="582"/>
      <c r="GPT17" s="582"/>
      <c r="GPU17" s="582"/>
      <c r="GPV17" s="582"/>
      <c r="GPW17" s="582"/>
      <c r="GPX17" s="582"/>
      <c r="GPY17" s="582"/>
      <c r="GPZ17" s="582"/>
      <c r="GQA17" s="582"/>
      <c r="GQB17" s="582"/>
      <c r="GQC17" s="582"/>
      <c r="GQD17" s="582"/>
      <c r="GQE17" s="582"/>
      <c r="GQF17" s="582"/>
      <c r="GQG17" s="582"/>
      <c r="GQH17" s="582"/>
      <c r="GQI17" s="582"/>
      <c r="GQJ17" s="582"/>
      <c r="GQK17" s="582"/>
      <c r="GQL17" s="582"/>
      <c r="GQM17" s="582"/>
      <c r="GQN17" s="582"/>
      <c r="GQO17" s="582"/>
      <c r="GQP17" s="582"/>
      <c r="GQQ17" s="582"/>
      <c r="GQR17" s="582"/>
      <c r="GQS17" s="582"/>
      <c r="GQT17" s="582"/>
      <c r="GQU17" s="582"/>
      <c r="GQV17" s="582"/>
      <c r="GQW17" s="582"/>
      <c r="GQX17" s="582"/>
      <c r="GQY17" s="582"/>
      <c r="GQZ17" s="582"/>
      <c r="GRA17" s="582"/>
      <c r="GRB17" s="582"/>
      <c r="GRC17" s="582"/>
      <c r="GRD17" s="582"/>
      <c r="GRE17" s="582"/>
      <c r="GRF17" s="582"/>
      <c r="GRG17" s="582"/>
      <c r="GRH17" s="582"/>
      <c r="GRI17" s="582"/>
      <c r="GRJ17" s="582"/>
      <c r="GRK17" s="582"/>
      <c r="GRL17" s="582"/>
      <c r="GRM17" s="582"/>
      <c r="GRN17" s="582"/>
      <c r="GRO17" s="582"/>
      <c r="GRP17" s="582"/>
      <c r="GRQ17" s="582"/>
      <c r="GRR17" s="582"/>
      <c r="GRS17" s="582"/>
      <c r="GRT17" s="582"/>
      <c r="GRU17" s="582"/>
      <c r="GRV17" s="582"/>
      <c r="GRW17" s="582"/>
      <c r="GRX17" s="582"/>
      <c r="GRY17" s="582"/>
      <c r="GRZ17" s="582"/>
      <c r="GSA17" s="582"/>
      <c r="GSB17" s="582"/>
      <c r="GSC17" s="582"/>
      <c r="GSD17" s="582"/>
      <c r="GSE17" s="582"/>
      <c r="GSF17" s="582"/>
      <c r="GSG17" s="582"/>
      <c r="GSH17" s="582"/>
      <c r="GSI17" s="582"/>
      <c r="GSJ17" s="582"/>
      <c r="GSK17" s="582"/>
      <c r="GSL17" s="582"/>
      <c r="GSM17" s="582"/>
      <c r="GSN17" s="582"/>
      <c r="GSO17" s="582"/>
      <c r="GSP17" s="582"/>
      <c r="GSQ17" s="582"/>
      <c r="GSR17" s="582"/>
      <c r="GSS17" s="582"/>
      <c r="GST17" s="582"/>
      <c r="GSU17" s="582"/>
      <c r="GSV17" s="582"/>
      <c r="GSW17" s="582"/>
      <c r="GSX17" s="582"/>
      <c r="GSY17" s="582"/>
      <c r="GSZ17" s="582"/>
      <c r="GTA17" s="582"/>
      <c r="GTB17" s="582"/>
      <c r="GTC17" s="582"/>
      <c r="GTD17" s="582"/>
      <c r="GTE17" s="582"/>
      <c r="GTF17" s="582"/>
      <c r="GTG17" s="582"/>
      <c r="GTH17" s="582"/>
      <c r="GTI17" s="582"/>
      <c r="GTJ17" s="582"/>
      <c r="GTK17" s="582"/>
      <c r="GTL17" s="582"/>
      <c r="GTM17" s="582"/>
      <c r="GTN17" s="582"/>
      <c r="GTO17" s="582"/>
      <c r="GTP17" s="582"/>
      <c r="GTQ17" s="582"/>
      <c r="GTR17" s="582"/>
      <c r="GTS17" s="582"/>
      <c r="GTT17" s="582"/>
      <c r="GTU17" s="582"/>
      <c r="GTV17" s="582"/>
      <c r="GTW17" s="582"/>
      <c r="GTX17" s="582"/>
      <c r="GTY17" s="582"/>
      <c r="GTZ17" s="582"/>
      <c r="GUA17" s="582"/>
      <c r="GUB17" s="582"/>
      <c r="GUC17" s="582"/>
    </row>
    <row r="18" spans="1:5281" ht="22.5" thickBot="1">
      <c r="B18" s="3607" t="s">
        <v>797</v>
      </c>
      <c r="C18" s="3607"/>
      <c r="D18" s="3607"/>
      <c r="E18" s="3607"/>
      <c r="F18" s="3607"/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582"/>
      <c r="AM18" s="582"/>
      <c r="AN18" s="582"/>
      <c r="AO18" s="582"/>
      <c r="AP18" s="582"/>
      <c r="AQ18" s="582"/>
      <c r="AR18" s="582"/>
      <c r="AS18" s="582"/>
      <c r="AT18" s="582"/>
      <c r="AU18" s="582"/>
      <c r="AV18" s="582"/>
      <c r="AW18" s="582"/>
      <c r="AX18" s="582"/>
      <c r="AY18" s="582"/>
      <c r="AZ18" s="582"/>
      <c r="BA18" s="582"/>
      <c r="BB18" s="582"/>
      <c r="BC18" s="582"/>
      <c r="BD18" s="582"/>
      <c r="BE18" s="582"/>
      <c r="BF18" s="582"/>
      <c r="BG18" s="582"/>
      <c r="BH18" s="582"/>
      <c r="BI18" s="582"/>
      <c r="BJ18" s="582"/>
      <c r="BK18" s="582"/>
      <c r="BL18" s="582"/>
      <c r="BM18" s="582"/>
      <c r="BN18" s="582"/>
      <c r="BO18" s="582"/>
      <c r="BP18" s="582"/>
      <c r="BQ18" s="582"/>
      <c r="BR18" s="582"/>
      <c r="BS18" s="582"/>
      <c r="BT18" s="582"/>
      <c r="BU18" s="582"/>
      <c r="BV18" s="582"/>
      <c r="BW18" s="582"/>
      <c r="BX18" s="582"/>
      <c r="BY18" s="582"/>
      <c r="BZ18" s="582"/>
      <c r="CA18" s="582"/>
      <c r="CB18" s="582"/>
      <c r="CC18" s="582"/>
      <c r="CD18" s="582"/>
      <c r="CE18" s="582"/>
      <c r="CF18" s="582"/>
      <c r="CG18" s="582"/>
      <c r="CH18" s="582"/>
      <c r="CI18" s="582"/>
      <c r="CJ18" s="582"/>
      <c r="CK18" s="582"/>
      <c r="CL18" s="582"/>
      <c r="CM18" s="582"/>
      <c r="CN18" s="582"/>
      <c r="CO18" s="582"/>
      <c r="CP18" s="582"/>
      <c r="CQ18" s="582"/>
      <c r="CR18" s="582"/>
      <c r="CS18" s="582"/>
      <c r="CT18" s="582"/>
      <c r="CU18" s="582"/>
      <c r="CV18" s="582"/>
      <c r="CW18" s="582"/>
      <c r="CX18" s="582"/>
      <c r="CY18" s="582"/>
      <c r="CZ18" s="582"/>
      <c r="DA18" s="582"/>
      <c r="DB18" s="582"/>
      <c r="DC18" s="582"/>
      <c r="DD18" s="582"/>
      <c r="DE18" s="582"/>
      <c r="DF18" s="582"/>
      <c r="DG18" s="582"/>
      <c r="DH18" s="582"/>
      <c r="DI18" s="582"/>
      <c r="DJ18" s="582"/>
      <c r="DK18" s="582"/>
      <c r="DL18" s="582"/>
      <c r="DM18" s="582"/>
      <c r="DN18" s="582"/>
      <c r="DO18" s="582"/>
      <c r="DP18" s="582"/>
      <c r="DQ18" s="582"/>
      <c r="DR18" s="582"/>
      <c r="DS18" s="582"/>
      <c r="DT18" s="582"/>
      <c r="DU18" s="582"/>
      <c r="DV18" s="582"/>
      <c r="DW18" s="582"/>
      <c r="DX18" s="582"/>
      <c r="DY18" s="582"/>
      <c r="DZ18" s="582"/>
      <c r="EA18" s="582"/>
      <c r="EB18" s="582"/>
      <c r="EC18" s="582"/>
      <c r="ED18" s="582"/>
      <c r="EE18" s="582"/>
      <c r="EF18" s="582"/>
      <c r="EG18" s="582"/>
      <c r="EH18" s="582"/>
      <c r="EI18" s="582"/>
      <c r="EJ18" s="582"/>
      <c r="EK18" s="582"/>
      <c r="EL18" s="582"/>
      <c r="EM18" s="582"/>
      <c r="EN18" s="582"/>
      <c r="EO18" s="582"/>
      <c r="EP18" s="582"/>
      <c r="EQ18" s="582"/>
      <c r="ER18" s="582"/>
      <c r="ES18" s="582"/>
      <c r="ET18" s="582"/>
      <c r="EU18" s="582"/>
      <c r="EV18" s="582"/>
      <c r="EW18" s="582"/>
      <c r="EX18" s="582"/>
      <c r="EY18" s="582"/>
      <c r="EZ18" s="582"/>
      <c r="FA18" s="582"/>
      <c r="FB18" s="582"/>
      <c r="FC18" s="582"/>
      <c r="FD18" s="582"/>
      <c r="FE18" s="582"/>
      <c r="FF18" s="582"/>
      <c r="FG18" s="582"/>
      <c r="FH18" s="582"/>
      <c r="FI18" s="582"/>
      <c r="FJ18" s="582"/>
      <c r="FK18" s="582"/>
      <c r="FL18" s="582"/>
      <c r="FM18" s="582"/>
      <c r="FN18" s="582"/>
      <c r="FO18" s="582"/>
      <c r="FP18" s="582"/>
      <c r="FQ18" s="582"/>
      <c r="FR18" s="582"/>
      <c r="FS18" s="582"/>
      <c r="FT18" s="582"/>
      <c r="FU18" s="582"/>
      <c r="FV18" s="582"/>
      <c r="FW18" s="582"/>
      <c r="FX18" s="582"/>
      <c r="FY18" s="582"/>
      <c r="FZ18" s="582"/>
      <c r="GA18" s="582"/>
      <c r="GB18" s="582"/>
      <c r="GC18" s="582"/>
      <c r="GD18" s="582"/>
      <c r="GE18" s="582"/>
      <c r="GF18" s="582"/>
      <c r="GG18" s="582"/>
      <c r="GH18" s="582"/>
      <c r="GI18" s="582"/>
      <c r="GJ18" s="582"/>
      <c r="GK18" s="582"/>
      <c r="GL18" s="582"/>
      <c r="GM18" s="582"/>
      <c r="GN18" s="582"/>
      <c r="GO18" s="582"/>
      <c r="GP18" s="582"/>
      <c r="GQ18" s="582"/>
      <c r="GR18" s="582"/>
      <c r="GS18" s="582"/>
      <c r="GT18" s="582"/>
      <c r="GU18" s="582"/>
      <c r="GV18" s="582"/>
      <c r="GW18" s="582"/>
      <c r="GX18" s="582"/>
      <c r="GY18" s="582"/>
      <c r="GZ18" s="582"/>
      <c r="HA18" s="582"/>
      <c r="HB18" s="582"/>
      <c r="HC18" s="582"/>
      <c r="HD18" s="582"/>
      <c r="HE18" s="582"/>
      <c r="HF18" s="582"/>
      <c r="HG18" s="582"/>
      <c r="HH18" s="582"/>
      <c r="HI18" s="582"/>
      <c r="HJ18" s="582"/>
      <c r="HK18" s="582"/>
      <c r="HL18" s="582"/>
      <c r="HM18" s="582"/>
      <c r="HN18" s="582"/>
      <c r="HO18" s="582"/>
      <c r="HP18" s="582"/>
      <c r="HQ18" s="582"/>
      <c r="HR18" s="582"/>
      <c r="HS18" s="582"/>
      <c r="HT18" s="582"/>
      <c r="HU18" s="582"/>
      <c r="HV18" s="582"/>
      <c r="HW18" s="582"/>
      <c r="HX18" s="582"/>
      <c r="HY18" s="582"/>
      <c r="HZ18" s="582"/>
      <c r="IA18" s="582"/>
      <c r="IB18" s="582"/>
      <c r="IC18" s="582"/>
      <c r="ID18" s="582"/>
      <c r="IE18" s="582"/>
      <c r="IF18" s="582"/>
      <c r="IG18" s="582"/>
      <c r="IH18" s="582"/>
      <c r="II18" s="582"/>
      <c r="IJ18" s="582"/>
      <c r="IK18" s="582"/>
      <c r="IL18" s="582"/>
      <c r="IM18" s="582"/>
      <c r="IN18" s="582"/>
      <c r="IO18" s="582"/>
      <c r="IP18" s="582"/>
      <c r="IQ18" s="582"/>
      <c r="IR18" s="582"/>
      <c r="IS18" s="582"/>
      <c r="IT18" s="582"/>
      <c r="IU18" s="582"/>
      <c r="IV18" s="582"/>
      <c r="IW18" s="582"/>
      <c r="IX18" s="582"/>
      <c r="IY18" s="582"/>
      <c r="IZ18" s="582"/>
      <c r="JA18" s="582"/>
      <c r="JB18" s="582"/>
      <c r="JC18" s="582"/>
      <c r="JD18" s="582"/>
      <c r="JE18" s="582"/>
      <c r="JF18" s="582"/>
      <c r="JG18" s="582"/>
      <c r="JH18" s="582"/>
      <c r="JI18" s="582"/>
      <c r="JJ18" s="582"/>
      <c r="JK18" s="582"/>
      <c r="JL18" s="582"/>
      <c r="JM18" s="582"/>
      <c r="JN18" s="582"/>
      <c r="JO18" s="582"/>
      <c r="JP18" s="582"/>
      <c r="JQ18" s="582"/>
      <c r="JR18" s="582"/>
      <c r="JS18" s="582"/>
      <c r="JT18" s="582"/>
      <c r="JU18" s="582"/>
      <c r="JV18" s="582"/>
      <c r="JW18" s="582"/>
      <c r="JX18" s="582"/>
      <c r="JY18" s="582"/>
      <c r="JZ18" s="582"/>
      <c r="KA18" s="582"/>
      <c r="KB18" s="582"/>
      <c r="KC18" s="582"/>
      <c r="KD18" s="582"/>
      <c r="KE18" s="582"/>
      <c r="KF18" s="582"/>
      <c r="KG18" s="582"/>
      <c r="KH18" s="582"/>
      <c r="KI18" s="582"/>
      <c r="KJ18" s="582"/>
      <c r="KK18" s="582"/>
      <c r="KL18" s="582"/>
      <c r="KM18" s="582"/>
      <c r="KN18" s="582"/>
      <c r="KO18" s="582"/>
      <c r="KP18" s="582"/>
      <c r="KQ18" s="582"/>
      <c r="KR18" s="582"/>
      <c r="KS18" s="582"/>
      <c r="KT18" s="582"/>
      <c r="KU18" s="582"/>
      <c r="KV18" s="582"/>
      <c r="KW18" s="582"/>
      <c r="KX18" s="582"/>
      <c r="KY18" s="582"/>
      <c r="KZ18" s="582"/>
      <c r="LA18" s="582"/>
      <c r="LB18" s="582"/>
      <c r="LC18" s="582"/>
      <c r="LD18" s="582"/>
      <c r="LE18" s="582"/>
      <c r="LF18" s="582"/>
      <c r="LG18" s="582"/>
      <c r="LH18" s="582"/>
      <c r="LI18" s="582"/>
      <c r="LJ18" s="582"/>
      <c r="LK18" s="582"/>
      <c r="LL18" s="582"/>
      <c r="LM18" s="582"/>
      <c r="LN18" s="582"/>
      <c r="LO18" s="582"/>
      <c r="LP18" s="582"/>
      <c r="LQ18" s="582"/>
      <c r="LR18" s="582"/>
      <c r="LS18" s="582"/>
      <c r="LT18" s="582"/>
      <c r="LU18" s="582"/>
      <c r="LV18" s="582"/>
      <c r="LW18" s="582"/>
      <c r="LX18" s="582"/>
      <c r="LY18" s="582"/>
      <c r="LZ18" s="582"/>
      <c r="MA18" s="582"/>
      <c r="MB18" s="582"/>
      <c r="MC18" s="582"/>
      <c r="MD18" s="582"/>
      <c r="ME18" s="582"/>
      <c r="MF18" s="582"/>
      <c r="MG18" s="582"/>
      <c r="MH18" s="582"/>
      <c r="MI18" s="582"/>
      <c r="MJ18" s="582"/>
      <c r="MK18" s="582"/>
      <c r="ML18" s="582"/>
      <c r="MM18" s="582"/>
      <c r="MN18" s="582"/>
      <c r="MO18" s="582"/>
      <c r="MP18" s="582"/>
      <c r="MQ18" s="582"/>
      <c r="MR18" s="582"/>
      <c r="MS18" s="582"/>
      <c r="MT18" s="582"/>
      <c r="MU18" s="582"/>
      <c r="MV18" s="582"/>
      <c r="MW18" s="582"/>
      <c r="MX18" s="582"/>
      <c r="MY18" s="582"/>
      <c r="MZ18" s="582"/>
      <c r="NA18" s="582"/>
      <c r="NB18" s="582"/>
      <c r="NC18" s="582"/>
      <c r="ND18" s="582"/>
      <c r="NE18" s="582"/>
      <c r="NF18" s="582"/>
      <c r="NG18" s="582"/>
      <c r="NH18" s="582"/>
      <c r="NI18" s="582"/>
      <c r="NJ18" s="582"/>
      <c r="NK18" s="582"/>
      <c r="NL18" s="582"/>
      <c r="NM18" s="582"/>
      <c r="NN18" s="582"/>
      <c r="NO18" s="582"/>
      <c r="NP18" s="582"/>
      <c r="NQ18" s="582"/>
      <c r="NR18" s="582"/>
      <c r="NS18" s="582"/>
      <c r="NT18" s="582"/>
      <c r="NU18" s="582"/>
      <c r="NV18" s="582"/>
      <c r="NW18" s="582"/>
      <c r="NX18" s="582"/>
      <c r="NY18" s="582"/>
      <c r="NZ18" s="582"/>
      <c r="OA18" s="582"/>
      <c r="OB18" s="582"/>
      <c r="OC18" s="582"/>
      <c r="OD18" s="582"/>
      <c r="OE18" s="582"/>
      <c r="OF18" s="582"/>
      <c r="OG18" s="582"/>
      <c r="OH18" s="582"/>
      <c r="OI18" s="582"/>
      <c r="OJ18" s="582"/>
      <c r="OK18" s="582"/>
      <c r="OL18" s="582"/>
      <c r="OM18" s="582"/>
      <c r="ON18" s="582"/>
      <c r="OO18" s="582"/>
      <c r="OP18" s="582"/>
      <c r="OQ18" s="582"/>
      <c r="OR18" s="582"/>
      <c r="OS18" s="582"/>
      <c r="OT18" s="582"/>
      <c r="OU18" s="582"/>
      <c r="OV18" s="582"/>
      <c r="OW18" s="582"/>
      <c r="OX18" s="582"/>
      <c r="OY18" s="582"/>
      <c r="OZ18" s="582"/>
      <c r="PA18" s="582"/>
      <c r="PB18" s="582"/>
      <c r="PC18" s="582"/>
      <c r="PD18" s="582"/>
      <c r="PE18" s="582"/>
      <c r="PF18" s="582"/>
      <c r="PG18" s="582"/>
      <c r="PH18" s="582"/>
      <c r="PI18" s="582"/>
      <c r="PJ18" s="582"/>
      <c r="PK18" s="582"/>
      <c r="PL18" s="582"/>
      <c r="PM18" s="582"/>
      <c r="PN18" s="582"/>
      <c r="PO18" s="582"/>
      <c r="PP18" s="582"/>
      <c r="PQ18" s="582"/>
      <c r="PR18" s="582"/>
      <c r="PS18" s="582"/>
      <c r="PT18" s="582"/>
      <c r="PU18" s="582"/>
      <c r="PV18" s="582"/>
      <c r="PW18" s="582"/>
      <c r="PX18" s="582"/>
      <c r="PY18" s="582"/>
      <c r="PZ18" s="582"/>
      <c r="QA18" s="582"/>
      <c r="QB18" s="582"/>
      <c r="QC18" s="582"/>
      <c r="QD18" s="582"/>
      <c r="QE18" s="582"/>
      <c r="QF18" s="582"/>
      <c r="QG18" s="582"/>
      <c r="QH18" s="582"/>
      <c r="QI18" s="582"/>
      <c r="QJ18" s="582"/>
      <c r="QK18" s="582"/>
      <c r="QL18" s="582"/>
      <c r="QM18" s="582"/>
      <c r="QN18" s="582"/>
      <c r="QO18" s="582"/>
      <c r="QP18" s="582"/>
      <c r="QQ18" s="582"/>
      <c r="QR18" s="582"/>
      <c r="QS18" s="582"/>
      <c r="QT18" s="582"/>
      <c r="QU18" s="582"/>
      <c r="QV18" s="582"/>
      <c r="QW18" s="582"/>
      <c r="QX18" s="582"/>
      <c r="QY18" s="582"/>
      <c r="QZ18" s="582"/>
      <c r="RA18" s="582"/>
      <c r="RB18" s="582"/>
      <c r="RC18" s="582"/>
      <c r="RD18" s="582"/>
      <c r="RE18" s="582"/>
      <c r="RF18" s="582"/>
      <c r="RG18" s="582"/>
      <c r="RH18" s="582"/>
      <c r="RI18" s="582"/>
      <c r="RJ18" s="582"/>
      <c r="RK18" s="582"/>
      <c r="RL18" s="582"/>
      <c r="RM18" s="582"/>
      <c r="RN18" s="582"/>
      <c r="RO18" s="582"/>
      <c r="RP18" s="582"/>
      <c r="RQ18" s="582"/>
      <c r="RR18" s="582"/>
      <c r="RS18" s="582"/>
      <c r="RT18" s="582"/>
      <c r="RU18" s="582"/>
      <c r="RV18" s="582"/>
      <c r="RW18" s="582"/>
      <c r="RX18" s="582"/>
      <c r="RY18" s="582"/>
      <c r="RZ18" s="582"/>
      <c r="SA18" s="582"/>
      <c r="SB18" s="582"/>
      <c r="SC18" s="582"/>
      <c r="SD18" s="582"/>
      <c r="SE18" s="582"/>
      <c r="SF18" s="582"/>
      <c r="SG18" s="582"/>
      <c r="SH18" s="582"/>
      <c r="SI18" s="582"/>
      <c r="SJ18" s="582"/>
      <c r="SK18" s="582"/>
      <c r="SL18" s="582"/>
      <c r="SM18" s="582"/>
      <c r="SN18" s="582"/>
      <c r="SO18" s="582"/>
      <c r="SP18" s="582"/>
      <c r="SQ18" s="582"/>
      <c r="SR18" s="582"/>
      <c r="SS18" s="582"/>
      <c r="ST18" s="582"/>
      <c r="SU18" s="582"/>
      <c r="SV18" s="582"/>
      <c r="SW18" s="582"/>
      <c r="SX18" s="582"/>
      <c r="SY18" s="582"/>
      <c r="SZ18" s="582"/>
      <c r="TA18" s="582"/>
      <c r="TB18" s="582"/>
      <c r="TC18" s="582"/>
      <c r="TD18" s="582"/>
      <c r="TE18" s="582"/>
      <c r="TF18" s="582"/>
      <c r="TG18" s="582"/>
      <c r="TH18" s="582"/>
      <c r="TI18" s="582"/>
      <c r="TJ18" s="582"/>
      <c r="TK18" s="582"/>
      <c r="TL18" s="582"/>
      <c r="TM18" s="582"/>
      <c r="TN18" s="582"/>
      <c r="TO18" s="582"/>
      <c r="TP18" s="582"/>
      <c r="TQ18" s="582"/>
      <c r="TR18" s="582"/>
      <c r="TS18" s="582"/>
      <c r="TT18" s="582"/>
      <c r="TU18" s="582"/>
      <c r="TV18" s="582"/>
      <c r="TW18" s="582"/>
      <c r="TX18" s="582"/>
      <c r="TY18" s="582"/>
      <c r="TZ18" s="582"/>
      <c r="UA18" s="582"/>
      <c r="UB18" s="582"/>
      <c r="UC18" s="582"/>
      <c r="UD18" s="582"/>
      <c r="UE18" s="582"/>
      <c r="UF18" s="582"/>
      <c r="UG18" s="582"/>
      <c r="UH18" s="582"/>
      <c r="UI18" s="582"/>
      <c r="UJ18" s="582"/>
      <c r="UK18" s="582"/>
      <c r="UL18" s="582"/>
      <c r="UM18" s="582"/>
      <c r="UN18" s="582"/>
      <c r="UO18" s="582"/>
      <c r="UP18" s="582"/>
      <c r="UQ18" s="582"/>
      <c r="UR18" s="582"/>
      <c r="US18" s="582"/>
      <c r="UT18" s="582"/>
      <c r="UU18" s="582"/>
      <c r="UV18" s="582"/>
      <c r="UW18" s="582"/>
      <c r="UX18" s="582"/>
      <c r="UY18" s="582"/>
      <c r="UZ18" s="582"/>
      <c r="VA18" s="582"/>
      <c r="VB18" s="582"/>
      <c r="VC18" s="582"/>
      <c r="VD18" s="582"/>
      <c r="VE18" s="582"/>
      <c r="VF18" s="582"/>
      <c r="VG18" s="582"/>
      <c r="VH18" s="582"/>
      <c r="VI18" s="582"/>
      <c r="VJ18" s="582"/>
      <c r="VK18" s="582"/>
      <c r="VL18" s="582"/>
      <c r="VM18" s="582"/>
      <c r="VN18" s="582"/>
      <c r="VO18" s="582"/>
      <c r="VP18" s="582"/>
      <c r="VQ18" s="582"/>
      <c r="VR18" s="582"/>
      <c r="VS18" s="582"/>
      <c r="VT18" s="582"/>
      <c r="VU18" s="582"/>
      <c r="VV18" s="582"/>
      <c r="VW18" s="582"/>
      <c r="VX18" s="582"/>
      <c r="VY18" s="582"/>
      <c r="VZ18" s="582"/>
      <c r="WA18" s="582"/>
      <c r="WB18" s="582"/>
      <c r="WC18" s="582"/>
      <c r="WD18" s="582"/>
      <c r="WE18" s="582"/>
      <c r="WF18" s="582"/>
      <c r="WG18" s="582"/>
      <c r="WH18" s="582"/>
      <c r="WI18" s="582"/>
      <c r="WJ18" s="582"/>
      <c r="WK18" s="582"/>
      <c r="WL18" s="582"/>
      <c r="WM18" s="582"/>
      <c r="WN18" s="582"/>
      <c r="WO18" s="582"/>
      <c r="WP18" s="582"/>
      <c r="WQ18" s="582"/>
      <c r="WR18" s="582"/>
      <c r="WS18" s="582"/>
      <c r="WT18" s="582"/>
      <c r="WU18" s="582"/>
      <c r="WV18" s="582"/>
      <c r="WW18" s="582"/>
      <c r="WX18" s="582"/>
      <c r="WY18" s="582"/>
      <c r="WZ18" s="582"/>
      <c r="XA18" s="582"/>
      <c r="XB18" s="582"/>
      <c r="XC18" s="582"/>
      <c r="XD18" s="582"/>
      <c r="XE18" s="582"/>
      <c r="XF18" s="582"/>
      <c r="XG18" s="582"/>
      <c r="XH18" s="582"/>
      <c r="XI18" s="582"/>
      <c r="XJ18" s="582"/>
      <c r="XK18" s="582"/>
      <c r="XL18" s="582"/>
      <c r="XM18" s="582"/>
      <c r="XN18" s="582"/>
      <c r="XO18" s="582"/>
      <c r="XP18" s="582"/>
      <c r="XQ18" s="582"/>
      <c r="XR18" s="582"/>
      <c r="XS18" s="582"/>
      <c r="XT18" s="582"/>
      <c r="XU18" s="582"/>
      <c r="XV18" s="582"/>
      <c r="XW18" s="582"/>
      <c r="XX18" s="582"/>
      <c r="XY18" s="582"/>
      <c r="XZ18" s="582"/>
      <c r="YA18" s="582"/>
      <c r="YB18" s="582"/>
      <c r="YC18" s="582"/>
      <c r="YD18" s="582"/>
      <c r="YE18" s="582"/>
      <c r="YF18" s="582"/>
      <c r="YG18" s="582"/>
      <c r="YH18" s="582"/>
      <c r="YI18" s="582"/>
      <c r="YJ18" s="582"/>
      <c r="YK18" s="582"/>
      <c r="YL18" s="582"/>
      <c r="YM18" s="582"/>
      <c r="YN18" s="582"/>
      <c r="YO18" s="582"/>
      <c r="YP18" s="582"/>
      <c r="YQ18" s="582"/>
      <c r="YR18" s="582"/>
      <c r="YS18" s="582"/>
      <c r="YT18" s="582"/>
      <c r="YU18" s="582"/>
      <c r="YV18" s="582"/>
      <c r="YW18" s="582"/>
      <c r="YX18" s="582"/>
      <c r="YY18" s="582"/>
      <c r="YZ18" s="582"/>
      <c r="ZA18" s="582"/>
      <c r="ZB18" s="582"/>
      <c r="ZC18" s="582"/>
      <c r="ZD18" s="582"/>
      <c r="ZE18" s="582"/>
      <c r="ZF18" s="582"/>
      <c r="ZG18" s="582"/>
      <c r="ZH18" s="582"/>
      <c r="ZI18" s="582"/>
      <c r="ZJ18" s="582"/>
      <c r="ZK18" s="582"/>
      <c r="ZL18" s="582"/>
      <c r="ZM18" s="582"/>
      <c r="ZN18" s="582"/>
      <c r="ZO18" s="582"/>
      <c r="ZP18" s="582"/>
      <c r="ZQ18" s="582"/>
      <c r="ZR18" s="582"/>
      <c r="ZS18" s="582"/>
      <c r="ZT18" s="582"/>
      <c r="ZU18" s="582"/>
      <c r="ZV18" s="582"/>
      <c r="ZW18" s="582"/>
      <c r="ZX18" s="582"/>
      <c r="ZY18" s="582"/>
      <c r="ZZ18" s="582"/>
      <c r="AAA18" s="582"/>
      <c r="AAB18" s="582"/>
      <c r="AAC18" s="582"/>
      <c r="AAD18" s="582"/>
      <c r="AAE18" s="582"/>
      <c r="AAF18" s="582"/>
      <c r="AAG18" s="582"/>
      <c r="AAH18" s="582"/>
      <c r="AAI18" s="582"/>
      <c r="AAJ18" s="582"/>
      <c r="AAK18" s="582"/>
      <c r="AAL18" s="582"/>
      <c r="AAM18" s="582"/>
      <c r="AAN18" s="582"/>
      <c r="AAO18" s="582"/>
      <c r="AAP18" s="582"/>
      <c r="AAQ18" s="582"/>
      <c r="AAR18" s="582"/>
      <c r="AAS18" s="582"/>
      <c r="AAT18" s="582"/>
      <c r="AAU18" s="582"/>
      <c r="AAV18" s="582"/>
      <c r="AAW18" s="582"/>
      <c r="AAX18" s="582"/>
      <c r="AAY18" s="582"/>
      <c r="AAZ18" s="582"/>
      <c r="ABA18" s="582"/>
      <c r="ABB18" s="582"/>
      <c r="ABC18" s="582"/>
      <c r="ABD18" s="582"/>
      <c r="ABE18" s="582"/>
      <c r="ABF18" s="582"/>
      <c r="ABG18" s="582"/>
      <c r="ABH18" s="582"/>
      <c r="ABI18" s="582"/>
      <c r="ABJ18" s="582"/>
      <c r="ABK18" s="582"/>
      <c r="ABL18" s="582"/>
      <c r="ABM18" s="582"/>
      <c r="ABN18" s="582"/>
      <c r="ABO18" s="582"/>
      <c r="ABP18" s="582"/>
      <c r="ABQ18" s="582"/>
      <c r="ABR18" s="582"/>
      <c r="ABS18" s="582"/>
      <c r="ABT18" s="582"/>
      <c r="ABU18" s="582"/>
      <c r="ABV18" s="582"/>
      <c r="ABW18" s="582"/>
      <c r="ABX18" s="582"/>
      <c r="ABY18" s="582"/>
      <c r="ABZ18" s="582"/>
      <c r="ACA18" s="582"/>
      <c r="ACB18" s="582"/>
      <c r="ACC18" s="582"/>
      <c r="ACD18" s="582"/>
      <c r="ACE18" s="582"/>
      <c r="ACF18" s="582"/>
      <c r="ACG18" s="582"/>
      <c r="ACH18" s="582"/>
      <c r="ACI18" s="582"/>
      <c r="ACJ18" s="582"/>
      <c r="ACK18" s="582"/>
      <c r="ACL18" s="582"/>
      <c r="ACM18" s="582"/>
      <c r="ACN18" s="582"/>
      <c r="ACO18" s="582"/>
      <c r="ACP18" s="582"/>
      <c r="ACQ18" s="582"/>
      <c r="ACR18" s="582"/>
      <c r="ACS18" s="582"/>
      <c r="ACT18" s="582"/>
      <c r="ACU18" s="582"/>
      <c r="ACV18" s="582"/>
      <c r="ACW18" s="582"/>
      <c r="ACX18" s="582"/>
      <c r="ACY18" s="582"/>
      <c r="ACZ18" s="582"/>
      <c r="ADA18" s="582"/>
      <c r="ADB18" s="582"/>
      <c r="ADC18" s="582"/>
      <c r="ADD18" s="582"/>
      <c r="ADE18" s="582"/>
      <c r="ADF18" s="582"/>
      <c r="ADG18" s="582"/>
      <c r="ADH18" s="582"/>
      <c r="ADI18" s="582"/>
      <c r="ADJ18" s="582"/>
      <c r="ADK18" s="582"/>
      <c r="ADL18" s="582"/>
      <c r="ADM18" s="582"/>
      <c r="ADN18" s="582"/>
      <c r="ADO18" s="582"/>
      <c r="ADP18" s="582"/>
      <c r="ADQ18" s="582"/>
      <c r="ADR18" s="582"/>
      <c r="ADS18" s="582"/>
      <c r="ADT18" s="582"/>
      <c r="ADU18" s="582"/>
      <c r="ADV18" s="582"/>
      <c r="ADW18" s="582"/>
      <c r="ADX18" s="582"/>
      <c r="ADY18" s="582"/>
      <c r="ADZ18" s="582"/>
      <c r="AEA18" s="582"/>
      <c r="AEB18" s="582"/>
      <c r="AEC18" s="582"/>
      <c r="AED18" s="582"/>
      <c r="AEE18" s="582"/>
      <c r="AEF18" s="582"/>
      <c r="AEG18" s="582"/>
      <c r="AEH18" s="582"/>
      <c r="AEI18" s="582"/>
      <c r="AEJ18" s="582"/>
      <c r="AEK18" s="582"/>
      <c r="AEL18" s="582"/>
      <c r="AEM18" s="582"/>
      <c r="AEN18" s="582"/>
      <c r="AEO18" s="582"/>
      <c r="AEP18" s="582"/>
      <c r="AEQ18" s="582"/>
      <c r="AER18" s="582"/>
      <c r="AES18" s="582"/>
      <c r="AET18" s="582"/>
      <c r="AEU18" s="582"/>
      <c r="AEV18" s="582"/>
      <c r="AEW18" s="582"/>
      <c r="AEX18" s="582"/>
      <c r="AEY18" s="582"/>
      <c r="AEZ18" s="582"/>
      <c r="AFA18" s="582"/>
      <c r="AFB18" s="582"/>
      <c r="AFC18" s="582"/>
      <c r="AFD18" s="582"/>
      <c r="AFE18" s="582"/>
      <c r="AFF18" s="582"/>
      <c r="AFG18" s="582"/>
      <c r="AFH18" s="582"/>
      <c r="AFI18" s="582"/>
      <c r="AFJ18" s="582"/>
      <c r="AFK18" s="582"/>
      <c r="AFL18" s="582"/>
      <c r="AFM18" s="582"/>
      <c r="AFN18" s="582"/>
      <c r="AFO18" s="582"/>
      <c r="AFP18" s="582"/>
      <c r="AFQ18" s="582"/>
      <c r="AFR18" s="582"/>
      <c r="AFS18" s="582"/>
      <c r="AFT18" s="582"/>
      <c r="AFU18" s="582"/>
      <c r="AFV18" s="582"/>
      <c r="AFW18" s="582"/>
      <c r="AFX18" s="582"/>
      <c r="AFY18" s="582"/>
      <c r="AFZ18" s="582"/>
      <c r="AGA18" s="582"/>
      <c r="AGB18" s="582"/>
      <c r="AGC18" s="582"/>
      <c r="AGD18" s="582"/>
      <c r="AGE18" s="582"/>
      <c r="AGF18" s="582"/>
      <c r="AGG18" s="582"/>
      <c r="AGH18" s="582"/>
      <c r="AGI18" s="582"/>
      <c r="AGJ18" s="582"/>
      <c r="AGK18" s="582"/>
      <c r="AGL18" s="582"/>
      <c r="AGM18" s="582"/>
      <c r="AGN18" s="582"/>
      <c r="AGO18" s="582"/>
      <c r="AGP18" s="582"/>
      <c r="AGQ18" s="582"/>
      <c r="AGR18" s="582"/>
      <c r="AGS18" s="582"/>
      <c r="AGT18" s="582"/>
      <c r="AGU18" s="582"/>
      <c r="AGV18" s="582"/>
      <c r="AGW18" s="582"/>
      <c r="AGX18" s="582"/>
      <c r="AGY18" s="582"/>
      <c r="AGZ18" s="582"/>
      <c r="AHA18" s="582"/>
      <c r="AHB18" s="582"/>
      <c r="AHC18" s="582"/>
      <c r="AHD18" s="582"/>
      <c r="AHE18" s="582"/>
      <c r="AHF18" s="582"/>
      <c r="AHG18" s="582"/>
      <c r="AHH18" s="582"/>
      <c r="AHI18" s="582"/>
      <c r="AHJ18" s="582"/>
      <c r="AHK18" s="582"/>
      <c r="AHL18" s="582"/>
      <c r="AHM18" s="582"/>
      <c r="AHN18" s="582"/>
      <c r="AHO18" s="582"/>
      <c r="AHP18" s="582"/>
      <c r="AHQ18" s="582"/>
      <c r="AHR18" s="582"/>
      <c r="AHS18" s="582"/>
      <c r="AHT18" s="582"/>
      <c r="AHU18" s="582"/>
      <c r="AHV18" s="582"/>
      <c r="AHW18" s="582"/>
      <c r="AHX18" s="582"/>
      <c r="AHY18" s="582"/>
      <c r="AHZ18" s="582"/>
      <c r="AIA18" s="582"/>
      <c r="AIB18" s="582"/>
      <c r="AIC18" s="582"/>
      <c r="AID18" s="582"/>
      <c r="AIE18" s="582"/>
      <c r="AIF18" s="582"/>
      <c r="AIG18" s="582"/>
      <c r="AIH18" s="582"/>
      <c r="AII18" s="582"/>
      <c r="AIJ18" s="582"/>
      <c r="AIK18" s="582"/>
      <c r="AIL18" s="582"/>
      <c r="AIM18" s="582"/>
      <c r="AIN18" s="582"/>
      <c r="AIO18" s="582"/>
      <c r="AIP18" s="582"/>
      <c r="AIQ18" s="582"/>
      <c r="AIR18" s="582"/>
      <c r="AIS18" s="582"/>
      <c r="AIT18" s="582"/>
      <c r="AIU18" s="582"/>
      <c r="AIV18" s="582"/>
      <c r="AIW18" s="582"/>
      <c r="AIX18" s="582"/>
      <c r="AIY18" s="582"/>
      <c r="AIZ18" s="582"/>
      <c r="AJA18" s="582"/>
      <c r="AJB18" s="582"/>
      <c r="AJC18" s="582"/>
      <c r="AJD18" s="582"/>
      <c r="AJE18" s="582"/>
      <c r="AJF18" s="582"/>
      <c r="AJG18" s="582"/>
      <c r="AJH18" s="582"/>
      <c r="AJI18" s="582"/>
      <c r="AJJ18" s="582"/>
      <c r="AJK18" s="582"/>
      <c r="AJL18" s="582"/>
      <c r="AJM18" s="582"/>
      <c r="AJN18" s="582"/>
      <c r="AJO18" s="582"/>
      <c r="AJP18" s="582"/>
      <c r="AJQ18" s="582"/>
      <c r="AJR18" s="582"/>
      <c r="AJS18" s="582"/>
      <c r="AJT18" s="582"/>
      <c r="AJU18" s="582"/>
      <c r="AJV18" s="582"/>
      <c r="AJW18" s="582"/>
      <c r="AJX18" s="582"/>
      <c r="AJY18" s="582"/>
      <c r="AJZ18" s="582"/>
      <c r="AKA18" s="582"/>
      <c r="AKB18" s="582"/>
      <c r="AKC18" s="582"/>
      <c r="AKD18" s="582"/>
      <c r="AKE18" s="582"/>
      <c r="AKF18" s="582"/>
      <c r="AKG18" s="582"/>
      <c r="AKH18" s="582"/>
      <c r="AKI18" s="582"/>
      <c r="AKJ18" s="582"/>
      <c r="AKK18" s="582"/>
      <c r="AKL18" s="582"/>
      <c r="AKM18" s="582"/>
      <c r="AKN18" s="582"/>
      <c r="AKO18" s="582"/>
      <c r="AKP18" s="582"/>
      <c r="AKQ18" s="582"/>
      <c r="AKR18" s="582"/>
      <c r="AKS18" s="582"/>
      <c r="AKT18" s="582"/>
      <c r="AKU18" s="582"/>
      <c r="AKV18" s="582"/>
      <c r="AKW18" s="582"/>
      <c r="AKX18" s="582"/>
      <c r="AKY18" s="582"/>
      <c r="AKZ18" s="582"/>
      <c r="ALA18" s="582"/>
      <c r="ALB18" s="582"/>
      <c r="ALC18" s="582"/>
      <c r="ALD18" s="582"/>
      <c r="ALE18" s="582"/>
      <c r="ALF18" s="582"/>
      <c r="ALG18" s="582"/>
      <c r="ALH18" s="582"/>
      <c r="ALI18" s="582"/>
      <c r="ALJ18" s="582"/>
      <c r="ALK18" s="582"/>
      <c r="ALL18" s="582"/>
      <c r="ALM18" s="582"/>
      <c r="ALN18" s="582"/>
      <c r="ALO18" s="582"/>
      <c r="ALP18" s="582"/>
      <c r="ALQ18" s="582"/>
      <c r="ALR18" s="582"/>
      <c r="ALS18" s="582"/>
      <c r="ALT18" s="582"/>
      <c r="ALU18" s="582"/>
      <c r="ALV18" s="582"/>
      <c r="ALW18" s="582"/>
      <c r="ALX18" s="582"/>
      <c r="ALY18" s="582"/>
      <c r="ALZ18" s="582"/>
      <c r="AMA18" s="582"/>
      <c r="AMB18" s="582"/>
      <c r="AMC18" s="582"/>
      <c r="AMD18" s="582"/>
      <c r="AME18" s="582"/>
      <c r="AMF18" s="582"/>
      <c r="AMG18" s="582"/>
      <c r="AMH18" s="582"/>
      <c r="AMI18" s="582"/>
      <c r="AMJ18" s="582"/>
      <c r="AMK18" s="582"/>
      <c r="AML18" s="582"/>
      <c r="AMM18" s="582"/>
      <c r="AMN18" s="582"/>
      <c r="AMO18" s="582"/>
      <c r="AMP18" s="582"/>
      <c r="AMQ18" s="582"/>
      <c r="AMR18" s="582"/>
      <c r="AMS18" s="582"/>
      <c r="AMT18" s="582"/>
      <c r="AMU18" s="582"/>
      <c r="AMV18" s="582"/>
      <c r="AMW18" s="582"/>
      <c r="AMX18" s="582"/>
      <c r="AMY18" s="582"/>
      <c r="AMZ18" s="582"/>
      <c r="ANA18" s="582"/>
      <c r="ANB18" s="582"/>
      <c r="ANC18" s="582"/>
      <c r="AND18" s="582"/>
      <c r="ANE18" s="582"/>
      <c r="ANF18" s="582"/>
      <c r="ANG18" s="582"/>
      <c r="ANH18" s="582"/>
      <c r="ANI18" s="582"/>
      <c r="ANJ18" s="582"/>
      <c r="ANK18" s="582"/>
      <c r="ANL18" s="582"/>
      <c r="ANM18" s="582"/>
      <c r="ANN18" s="582"/>
      <c r="ANO18" s="582"/>
      <c r="ANP18" s="582"/>
      <c r="ANQ18" s="582"/>
      <c r="ANR18" s="582"/>
      <c r="ANS18" s="582"/>
      <c r="ANT18" s="582"/>
      <c r="ANU18" s="582"/>
      <c r="ANV18" s="582"/>
      <c r="ANW18" s="582"/>
      <c r="ANX18" s="582"/>
      <c r="ANY18" s="582"/>
      <c r="ANZ18" s="582"/>
      <c r="AOA18" s="582"/>
      <c r="AOB18" s="582"/>
      <c r="AOC18" s="582"/>
      <c r="AOD18" s="582"/>
      <c r="AOE18" s="582"/>
      <c r="AOF18" s="582"/>
      <c r="AOG18" s="582"/>
      <c r="AOH18" s="582"/>
      <c r="AOI18" s="582"/>
      <c r="AOJ18" s="582"/>
      <c r="AOK18" s="582"/>
      <c r="AOL18" s="582"/>
      <c r="AOM18" s="582"/>
      <c r="AON18" s="582"/>
      <c r="AOO18" s="582"/>
      <c r="AOP18" s="582"/>
      <c r="AOQ18" s="582"/>
      <c r="AOR18" s="582"/>
      <c r="AOS18" s="582"/>
      <c r="AOT18" s="582"/>
      <c r="AOU18" s="582"/>
      <c r="AOV18" s="582"/>
      <c r="AOW18" s="582"/>
      <c r="AOX18" s="582"/>
      <c r="AOY18" s="582"/>
      <c r="AOZ18" s="582"/>
      <c r="APA18" s="582"/>
      <c r="APB18" s="582"/>
      <c r="APC18" s="582"/>
      <c r="APD18" s="582"/>
      <c r="APE18" s="582"/>
      <c r="APF18" s="582"/>
      <c r="APG18" s="582"/>
      <c r="APH18" s="582"/>
      <c r="API18" s="582"/>
      <c r="APJ18" s="582"/>
      <c r="APK18" s="582"/>
      <c r="APL18" s="582"/>
      <c r="APM18" s="582"/>
      <c r="APN18" s="582"/>
      <c r="APO18" s="582"/>
      <c r="APP18" s="582"/>
      <c r="APQ18" s="582"/>
      <c r="APR18" s="582"/>
      <c r="APS18" s="582"/>
      <c r="APT18" s="582"/>
      <c r="APU18" s="582"/>
      <c r="APV18" s="582"/>
      <c r="APW18" s="582"/>
      <c r="APX18" s="582"/>
      <c r="APY18" s="582"/>
      <c r="APZ18" s="582"/>
      <c r="AQA18" s="582"/>
      <c r="AQB18" s="582"/>
      <c r="AQC18" s="582"/>
      <c r="AQD18" s="582"/>
      <c r="AQE18" s="582"/>
      <c r="AQF18" s="582"/>
      <c r="AQG18" s="582"/>
      <c r="AQH18" s="582"/>
      <c r="AQI18" s="582"/>
      <c r="AQJ18" s="582"/>
      <c r="AQK18" s="582"/>
      <c r="AQL18" s="582"/>
      <c r="AQM18" s="582"/>
      <c r="AQN18" s="582"/>
      <c r="AQO18" s="582"/>
      <c r="AQP18" s="582"/>
      <c r="AQQ18" s="582"/>
      <c r="AQR18" s="582"/>
      <c r="AQS18" s="582"/>
      <c r="AQT18" s="582"/>
      <c r="AQU18" s="582"/>
      <c r="AQV18" s="582"/>
      <c r="AQW18" s="582"/>
      <c r="AQX18" s="582"/>
      <c r="AQY18" s="582"/>
      <c r="AQZ18" s="582"/>
      <c r="ARA18" s="582"/>
      <c r="ARB18" s="582"/>
      <c r="ARC18" s="582"/>
      <c r="ARD18" s="582"/>
      <c r="ARE18" s="582"/>
      <c r="ARF18" s="582"/>
      <c r="ARG18" s="582"/>
      <c r="ARH18" s="582"/>
      <c r="ARI18" s="582"/>
      <c r="ARJ18" s="582"/>
      <c r="ARK18" s="582"/>
      <c r="ARL18" s="582"/>
      <c r="ARM18" s="582"/>
      <c r="ARN18" s="582"/>
      <c r="ARO18" s="582"/>
      <c r="ARP18" s="582"/>
      <c r="ARQ18" s="582"/>
      <c r="ARR18" s="582"/>
      <c r="ARS18" s="582"/>
      <c r="ART18" s="582"/>
      <c r="ARU18" s="582"/>
      <c r="ARV18" s="582"/>
      <c r="ARW18" s="582"/>
      <c r="ARX18" s="582"/>
      <c r="ARY18" s="582"/>
      <c r="ARZ18" s="582"/>
      <c r="ASA18" s="582"/>
      <c r="ASB18" s="582"/>
      <c r="ASC18" s="582"/>
      <c r="ASD18" s="582"/>
      <c r="ASE18" s="582"/>
      <c r="ASF18" s="582"/>
      <c r="ASG18" s="582"/>
      <c r="ASH18" s="582"/>
      <c r="ASI18" s="582"/>
      <c r="ASJ18" s="582"/>
      <c r="ASK18" s="582"/>
      <c r="ASL18" s="582"/>
      <c r="ASM18" s="582"/>
      <c r="ASN18" s="582"/>
      <c r="ASO18" s="582"/>
      <c r="ASP18" s="582"/>
      <c r="ASQ18" s="582"/>
      <c r="ASR18" s="582"/>
      <c r="ASS18" s="582"/>
      <c r="AST18" s="582"/>
      <c r="ASU18" s="582"/>
      <c r="ASV18" s="582"/>
      <c r="ASW18" s="582"/>
      <c r="ASX18" s="582"/>
      <c r="ASY18" s="582"/>
      <c r="ASZ18" s="582"/>
      <c r="ATA18" s="582"/>
      <c r="ATB18" s="582"/>
      <c r="ATC18" s="582"/>
      <c r="ATD18" s="582"/>
      <c r="ATE18" s="582"/>
      <c r="ATF18" s="582"/>
      <c r="ATG18" s="582"/>
      <c r="ATH18" s="582"/>
      <c r="ATI18" s="582"/>
      <c r="ATJ18" s="582"/>
      <c r="ATK18" s="582"/>
      <c r="ATL18" s="582"/>
      <c r="ATM18" s="582"/>
      <c r="ATN18" s="582"/>
      <c r="ATO18" s="582"/>
      <c r="ATP18" s="582"/>
      <c r="ATQ18" s="582"/>
      <c r="ATR18" s="582"/>
      <c r="ATS18" s="582"/>
      <c r="ATT18" s="582"/>
      <c r="ATU18" s="582"/>
      <c r="ATV18" s="582"/>
      <c r="ATW18" s="582"/>
      <c r="ATX18" s="582"/>
      <c r="ATY18" s="582"/>
      <c r="ATZ18" s="582"/>
      <c r="AUA18" s="582"/>
      <c r="AUB18" s="582"/>
      <c r="AUC18" s="582"/>
      <c r="AUD18" s="582"/>
      <c r="AUE18" s="582"/>
      <c r="AUF18" s="582"/>
      <c r="AUG18" s="582"/>
      <c r="AUH18" s="582"/>
      <c r="AUI18" s="582"/>
      <c r="AUJ18" s="582"/>
      <c r="AUK18" s="582"/>
      <c r="AUL18" s="582"/>
      <c r="AUM18" s="582"/>
      <c r="AUN18" s="582"/>
      <c r="AUO18" s="582"/>
      <c r="AUP18" s="582"/>
      <c r="AUQ18" s="582"/>
      <c r="AUR18" s="582"/>
      <c r="AUS18" s="582"/>
      <c r="AUT18" s="582"/>
      <c r="AUU18" s="582"/>
      <c r="AUV18" s="582"/>
      <c r="AUW18" s="582"/>
      <c r="AUX18" s="582"/>
      <c r="AUY18" s="582"/>
      <c r="AUZ18" s="582"/>
      <c r="AVA18" s="582"/>
      <c r="AVB18" s="582"/>
      <c r="AVC18" s="582"/>
      <c r="AVD18" s="582"/>
      <c r="AVE18" s="582"/>
      <c r="AVF18" s="582"/>
      <c r="AVG18" s="582"/>
      <c r="AVH18" s="582"/>
      <c r="AVI18" s="582"/>
      <c r="AVJ18" s="582"/>
      <c r="AVK18" s="582"/>
      <c r="AVL18" s="582"/>
      <c r="AVM18" s="582"/>
      <c r="AVN18" s="582"/>
      <c r="AVO18" s="582"/>
      <c r="AVP18" s="582"/>
      <c r="AVQ18" s="582"/>
      <c r="AVR18" s="582"/>
      <c r="AVS18" s="582"/>
      <c r="AVT18" s="582"/>
      <c r="AVU18" s="582"/>
      <c r="AVV18" s="582"/>
      <c r="AVW18" s="582"/>
      <c r="AVX18" s="582"/>
      <c r="AVY18" s="582"/>
      <c r="AVZ18" s="582"/>
      <c r="AWA18" s="582"/>
      <c r="AWB18" s="582"/>
      <c r="AWC18" s="582"/>
      <c r="AWD18" s="582"/>
      <c r="AWE18" s="582"/>
      <c r="AWF18" s="582"/>
      <c r="AWG18" s="582"/>
      <c r="AWH18" s="582"/>
      <c r="AWI18" s="582"/>
      <c r="AWJ18" s="582"/>
      <c r="AWK18" s="582"/>
      <c r="AWL18" s="582"/>
      <c r="AWM18" s="582"/>
      <c r="AWN18" s="582"/>
      <c r="AWO18" s="582"/>
      <c r="AWP18" s="582"/>
      <c r="AWQ18" s="582"/>
      <c r="AWR18" s="582"/>
      <c r="AWS18" s="582"/>
      <c r="AWT18" s="582"/>
      <c r="AWU18" s="582"/>
      <c r="AWV18" s="582"/>
      <c r="AWW18" s="582"/>
      <c r="AWX18" s="582"/>
      <c r="AWY18" s="582"/>
      <c r="AWZ18" s="582"/>
      <c r="AXA18" s="582"/>
      <c r="AXB18" s="582"/>
      <c r="AXC18" s="582"/>
      <c r="AXD18" s="582"/>
      <c r="AXE18" s="582"/>
      <c r="AXF18" s="582"/>
      <c r="AXG18" s="582"/>
      <c r="AXH18" s="582"/>
      <c r="AXI18" s="582"/>
      <c r="AXJ18" s="582"/>
      <c r="AXK18" s="582"/>
      <c r="AXL18" s="582"/>
      <c r="AXM18" s="582"/>
      <c r="AXN18" s="582"/>
      <c r="AXO18" s="582"/>
      <c r="AXP18" s="582"/>
      <c r="AXQ18" s="582"/>
      <c r="AXR18" s="582"/>
      <c r="AXS18" s="582"/>
      <c r="AXT18" s="582"/>
      <c r="AXU18" s="582"/>
      <c r="AXV18" s="582"/>
      <c r="AXW18" s="582"/>
      <c r="AXX18" s="582"/>
      <c r="AXY18" s="582"/>
      <c r="AXZ18" s="582"/>
      <c r="AYA18" s="582"/>
      <c r="AYB18" s="582"/>
      <c r="AYC18" s="582"/>
      <c r="AYD18" s="582"/>
      <c r="AYE18" s="582"/>
      <c r="AYF18" s="582"/>
      <c r="AYG18" s="582"/>
      <c r="AYH18" s="582"/>
      <c r="AYI18" s="582"/>
      <c r="AYJ18" s="582"/>
      <c r="AYK18" s="582"/>
      <c r="AYL18" s="582"/>
      <c r="AYM18" s="582"/>
      <c r="AYN18" s="582"/>
      <c r="AYO18" s="582"/>
      <c r="AYP18" s="582"/>
      <c r="AYQ18" s="582"/>
      <c r="AYR18" s="582"/>
      <c r="AYS18" s="582"/>
      <c r="AYT18" s="582"/>
      <c r="AYU18" s="582"/>
      <c r="AYV18" s="582"/>
      <c r="AYW18" s="582"/>
      <c r="AYX18" s="582"/>
      <c r="AYY18" s="582"/>
      <c r="AYZ18" s="582"/>
      <c r="AZA18" s="582"/>
      <c r="AZB18" s="582"/>
      <c r="AZC18" s="582"/>
      <c r="AZD18" s="582"/>
      <c r="AZE18" s="582"/>
      <c r="AZF18" s="582"/>
      <c r="AZG18" s="582"/>
      <c r="AZH18" s="582"/>
      <c r="AZI18" s="582"/>
      <c r="AZJ18" s="582"/>
      <c r="AZK18" s="582"/>
      <c r="AZL18" s="582"/>
      <c r="AZM18" s="582"/>
      <c r="AZN18" s="582"/>
      <c r="AZO18" s="582"/>
      <c r="AZP18" s="582"/>
      <c r="AZQ18" s="582"/>
      <c r="AZR18" s="582"/>
      <c r="AZS18" s="582"/>
      <c r="AZT18" s="582"/>
      <c r="AZU18" s="582"/>
      <c r="AZV18" s="582"/>
      <c r="AZW18" s="582"/>
      <c r="AZX18" s="582"/>
      <c r="AZY18" s="582"/>
      <c r="AZZ18" s="582"/>
      <c r="BAA18" s="582"/>
      <c r="BAB18" s="582"/>
      <c r="BAC18" s="582"/>
      <c r="BAD18" s="582"/>
      <c r="BAE18" s="582"/>
      <c r="BAF18" s="582"/>
      <c r="BAG18" s="582"/>
      <c r="BAH18" s="582"/>
      <c r="BAI18" s="582"/>
      <c r="BAJ18" s="582"/>
      <c r="BAK18" s="582"/>
      <c r="BAL18" s="582"/>
      <c r="BAM18" s="582"/>
      <c r="BAN18" s="582"/>
      <c r="BAO18" s="582"/>
      <c r="BAP18" s="582"/>
      <c r="BAQ18" s="582"/>
      <c r="BAR18" s="582"/>
      <c r="BAS18" s="582"/>
      <c r="BAT18" s="582"/>
      <c r="BAU18" s="582"/>
      <c r="BAV18" s="582"/>
      <c r="BAW18" s="582"/>
      <c r="BAX18" s="582"/>
      <c r="BAY18" s="582"/>
      <c r="BAZ18" s="582"/>
      <c r="BBA18" s="582"/>
      <c r="BBB18" s="582"/>
      <c r="BBC18" s="582"/>
      <c r="BBD18" s="582"/>
      <c r="BBE18" s="582"/>
      <c r="BBF18" s="582"/>
      <c r="BBG18" s="582"/>
      <c r="BBH18" s="582"/>
      <c r="BBI18" s="582"/>
      <c r="BBJ18" s="582"/>
      <c r="BBK18" s="582"/>
      <c r="BBL18" s="582"/>
      <c r="BBM18" s="582"/>
      <c r="BBN18" s="582"/>
      <c r="BBO18" s="582"/>
      <c r="BBP18" s="582"/>
      <c r="BBQ18" s="582"/>
      <c r="BBR18" s="582"/>
      <c r="BBS18" s="582"/>
      <c r="BBT18" s="582"/>
      <c r="BBU18" s="582"/>
      <c r="BBV18" s="582"/>
      <c r="BBW18" s="582"/>
      <c r="BBX18" s="582"/>
      <c r="BBY18" s="582"/>
      <c r="BBZ18" s="582"/>
      <c r="BCA18" s="582"/>
      <c r="BCB18" s="582"/>
      <c r="BCC18" s="582"/>
      <c r="BCD18" s="582"/>
      <c r="BCE18" s="582"/>
      <c r="BCF18" s="582"/>
      <c r="BCG18" s="582"/>
      <c r="BCH18" s="582"/>
      <c r="BCI18" s="582"/>
      <c r="BCJ18" s="582"/>
      <c r="BCK18" s="582"/>
      <c r="BCL18" s="582"/>
      <c r="BCM18" s="582"/>
      <c r="BCN18" s="582"/>
      <c r="BCO18" s="582"/>
      <c r="BCP18" s="582"/>
      <c r="BCQ18" s="582"/>
      <c r="BCR18" s="582"/>
      <c r="BCS18" s="582"/>
      <c r="BCT18" s="582"/>
      <c r="BCU18" s="582"/>
      <c r="BCV18" s="582"/>
      <c r="BCW18" s="582"/>
      <c r="BCX18" s="582"/>
      <c r="BCY18" s="582"/>
      <c r="BCZ18" s="582"/>
      <c r="BDA18" s="582"/>
      <c r="BDB18" s="582"/>
      <c r="BDC18" s="582"/>
      <c r="BDD18" s="582"/>
      <c r="BDE18" s="582"/>
      <c r="BDF18" s="582"/>
      <c r="BDG18" s="582"/>
      <c r="BDH18" s="582"/>
      <c r="BDI18" s="582"/>
      <c r="BDJ18" s="582"/>
      <c r="BDK18" s="582"/>
      <c r="BDL18" s="582"/>
      <c r="BDM18" s="582"/>
      <c r="BDN18" s="582"/>
      <c r="BDO18" s="582"/>
      <c r="BDP18" s="582"/>
      <c r="BDQ18" s="582"/>
      <c r="BDR18" s="582"/>
      <c r="BDS18" s="582"/>
      <c r="BDT18" s="582"/>
      <c r="BDU18" s="582"/>
      <c r="BDV18" s="582"/>
      <c r="BDW18" s="582"/>
      <c r="BDX18" s="582"/>
      <c r="BDY18" s="582"/>
      <c r="BDZ18" s="582"/>
      <c r="BEA18" s="582"/>
      <c r="BEB18" s="582"/>
      <c r="BEC18" s="582"/>
      <c r="BED18" s="582"/>
      <c r="BEE18" s="582"/>
      <c r="BEF18" s="582"/>
      <c r="BEG18" s="582"/>
      <c r="BEH18" s="582"/>
      <c r="BEI18" s="582"/>
      <c r="BEJ18" s="582"/>
      <c r="BEK18" s="582"/>
      <c r="BEL18" s="582"/>
      <c r="BEM18" s="582"/>
      <c r="BEN18" s="582"/>
      <c r="BEO18" s="582"/>
      <c r="BEP18" s="582"/>
      <c r="BEQ18" s="582"/>
      <c r="BER18" s="582"/>
      <c r="BES18" s="582"/>
      <c r="BET18" s="582"/>
      <c r="BEU18" s="582"/>
      <c r="BEV18" s="582"/>
      <c r="BEW18" s="582"/>
      <c r="BEX18" s="582"/>
      <c r="BEY18" s="582"/>
      <c r="BEZ18" s="582"/>
      <c r="BFA18" s="582"/>
      <c r="BFB18" s="582"/>
      <c r="BFC18" s="582"/>
      <c r="BFD18" s="582"/>
      <c r="BFE18" s="582"/>
      <c r="BFF18" s="582"/>
      <c r="BFG18" s="582"/>
      <c r="BFH18" s="582"/>
      <c r="BFI18" s="582"/>
      <c r="BFJ18" s="582"/>
      <c r="BFK18" s="582"/>
      <c r="BFL18" s="582"/>
      <c r="BFM18" s="582"/>
      <c r="BFN18" s="582"/>
      <c r="BFO18" s="582"/>
      <c r="BFP18" s="582"/>
      <c r="BFQ18" s="582"/>
      <c r="BFR18" s="582"/>
      <c r="BFS18" s="582"/>
      <c r="BFT18" s="582"/>
      <c r="BFU18" s="582"/>
      <c r="BFV18" s="582"/>
      <c r="BFW18" s="582"/>
      <c r="BFX18" s="582"/>
      <c r="BFY18" s="582"/>
      <c r="BFZ18" s="582"/>
      <c r="BGA18" s="582"/>
      <c r="BGB18" s="582"/>
      <c r="BGC18" s="582"/>
      <c r="BGD18" s="582"/>
      <c r="BGE18" s="582"/>
      <c r="BGF18" s="582"/>
      <c r="BGG18" s="582"/>
      <c r="BGH18" s="582"/>
      <c r="BGI18" s="582"/>
      <c r="BGJ18" s="582"/>
      <c r="BGK18" s="582"/>
      <c r="BGL18" s="582"/>
      <c r="BGM18" s="582"/>
      <c r="BGN18" s="582"/>
      <c r="BGO18" s="582"/>
      <c r="BGP18" s="582"/>
      <c r="BGQ18" s="582"/>
      <c r="BGR18" s="582"/>
      <c r="BGS18" s="582"/>
      <c r="BGT18" s="582"/>
      <c r="BGU18" s="582"/>
      <c r="BGV18" s="582"/>
      <c r="BGW18" s="582"/>
      <c r="BGX18" s="582"/>
      <c r="BGY18" s="582"/>
      <c r="BGZ18" s="582"/>
      <c r="BHA18" s="582"/>
      <c r="BHB18" s="582"/>
      <c r="BHC18" s="582"/>
      <c r="BHD18" s="582"/>
      <c r="BHE18" s="582"/>
      <c r="BHF18" s="582"/>
      <c r="BHG18" s="582"/>
      <c r="BHH18" s="582"/>
      <c r="BHI18" s="582"/>
      <c r="BHJ18" s="582"/>
      <c r="BHK18" s="582"/>
      <c r="BHL18" s="582"/>
      <c r="BHM18" s="582"/>
      <c r="BHN18" s="582"/>
      <c r="BHO18" s="582"/>
      <c r="BHP18" s="582"/>
      <c r="BHQ18" s="582"/>
      <c r="BHR18" s="582"/>
      <c r="BHS18" s="582"/>
      <c r="BHT18" s="582"/>
      <c r="BHU18" s="582"/>
      <c r="BHV18" s="582"/>
      <c r="BHW18" s="582"/>
      <c r="BHX18" s="582"/>
      <c r="BHY18" s="582"/>
      <c r="BHZ18" s="582"/>
      <c r="BIA18" s="582"/>
      <c r="BIB18" s="582"/>
      <c r="BIC18" s="582"/>
      <c r="BID18" s="582"/>
      <c r="BIE18" s="582"/>
      <c r="BIF18" s="582"/>
      <c r="BIG18" s="582"/>
      <c r="BIH18" s="582"/>
      <c r="BII18" s="582"/>
      <c r="BIJ18" s="582"/>
      <c r="BIK18" s="582"/>
      <c r="BIL18" s="582"/>
      <c r="BIM18" s="582"/>
      <c r="BIN18" s="582"/>
      <c r="BIO18" s="582"/>
      <c r="BIP18" s="582"/>
      <c r="BIQ18" s="582"/>
      <c r="BIR18" s="582"/>
      <c r="BIS18" s="582"/>
      <c r="BIT18" s="582"/>
      <c r="BIU18" s="582"/>
      <c r="BIV18" s="582"/>
      <c r="BIW18" s="582"/>
      <c r="BIX18" s="582"/>
      <c r="BIY18" s="582"/>
      <c r="BIZ18" s="582"/>
      <c r="BJA18" s="582"/>
      <c r="BJB18" s="582"/>
      <c r="BJC18" s="582"/>
      <c r="BJD18" s="582"/>
      <c r="BJE18" s="582"/>
      <c r="BJF18" s="582"/>
      <c r="BJG18" s="582"/>
      <c r="BJH18" s="582"/>
      <c r="BJI18" s="582"/>
      <c r="BJJ18" s="582"/>
      <c r="BJK18" s="582"/>
      <c r="BJL18" s="582"/>
      <c r="BJM18" s="582"/>
      <c r="BJN18" s="582"/>
      <c r="BJO18" s="582"/>
      <c r="BJP18" s="582"/>
      <c r="BJQ18" s="582"/>
      <c r="BJR18" s="582"/>
      <c r="BJS18" s="582"/>
      <c r="BJT18" s="582"/>
      <c r="BJU18" s="582"/>
      <c r="BJV18" s="582"/>
      <c r="BJW18" s="582"/>
      <c r="BJX18" s="582"/>
      <c r="BJY18" s="582"/>
      <c r="BJZ18" s="582"/>
      <c r="BKA18" s="582"/>
      <c r="BKB18" s="582"/>
      <c r="BKC18" s="582"/>
      <c r="BKD18" s="582"/>
      <c r="BKE18" s="582"/>
      <c r="BKF18" s="582"/>
      <c r="BKG18" s="582"/>
      <c r="BKH18" s="582"/>
      <c r="BKI18" s="582"/>
      <c r="BKJ18" s="582"/>
      <c r="BKK18" s="582"/>
      <c r="BKL18" s="582"/>
      <c r="BKM18" s="582"/>
      <c r="BKN18" s="582"/>
      <c r="BKO18" s="582"/>
      <c r="BKP18" s="582"/>
      <c r="BKQ18" s="582"/>
      <c r="BKR18" s="582"/>
      <c r="BKS18" s="582"/>
      <c r="BKT18" s="582"/>
      <c r="BKU18" s="582"/>
      <c r="BKV18" s="582"/>
      <c r="BKW18" s="582"/>
      <c r="BKX18" s="582"/>
      <c r="BKY18" s="582"/>
      <c r="BKZ18" s="582"/>
      <c r="BLA18" s="582"/>
      <c r="BLB18" s="582"/>
      <c r="BLC18" s="582"/>
      <c r="BLD18" s="582"/>
      <c r="BLE18" s="582"/>
      <c r="BLF18" s="582"/>
      <c r="BLG18" s="582"/>
      <c r="BLH18" s="582"/>
      <c r="BLI18" s="582"/>
      <c r="BLJ18" s="582"/>
      <c r="BLK18" s="582"/>
      <c r="BLL18" s="582"/>
      <c r="BLM18" s="582"/>
      <c r="BLN18" s="582"/>
      <c r="BLO18" s="582"/>
      <c r="BLP18" s="582"/>
      <c r="BLQ18" s="582"/>
      <c r="BLR18" s="582"/>
      <c r="BLS18" s="582"/>
      <c r="BLT18" s="582"/>
      <c r="BLU18" s="582"/>
      <c r="BLV18" s="582"/>
      <c r="BLW18" s="582"/>
      <c r="BLX18" s="582"/>
      <c r="BLY18" s="582"/>
      <c r="BLZ18" s="582"/>
      <c r="BMA18" s="582"/>
      <c r="BMB18" s="582"/>
      <c r="BMC18" s="582"/>
      <c r="BMD18" s="582"/>
      <c r="BME18" s="582"/>
      <c r="BMF18" s="582"/>
      <c r="BMG18" s="582"/>
      <c r="BMH18" s="582"/>
      <c r="BMI18" s="582"/>
      <c r="BMJ18" s="582"/>
      <c r="BMK18" s="582"/>
      <c r="BML18" s="582"/>
      <c r="BMM18" s="582"/>
      <c r="BMN18" s="582"/>
      <c r="BMO18" s="582"/>
      <c r="BMP18" s="582"/>
      <c r="BMQ18" s="582"/>
      <c r="BMR18" s="582"/>
      <c r="BMS18" s="582"/>
      <c r="BMT18" s="582"/>
      <c r="BMU18" s="582"/>
      <c r="BMV18" s="582"/>
      <c r="BMW18" s="582"/>
      <c r="BMX18" s="582"/>
      <c r="BMY18" s="582"/>
      <c r="BMZ18" s="582"/>
      <c r="BNA18" s="582"/>
      <c r="BNB18" s="582"/>
      <c r="BNC18" s="582"/>
      <c r="BND18" s="582"/>
      <c r="BNE18" s="582"/>
      <c r="BNF18" s="582"/>
      <c r="BNG18" s="582"/>
      <c r="BNH18" s="582"/>
      <c r="BNI18" s="582"/>
      <c r="BNJ18" s="582"/>
      <c r="BNK18" s="582"/>
      <c r="BNL18" s="582"/>
      <c r="BNM18" s="582"/>
      <c r="BNN18" s="582"/>
      <c r="BNO18" s="582"/>
      <c r="BNP18" s="582"/>
      <c r="BNQ18" s="582"/>
      <c r="BNR18" s="582"/>
      <c r="BNS18" s="582"/>
      <c r="BNT18" s="582"/>
      <c r="BNU18" s="582"/>
      <c r="BNV18" s="582"/>
      <c r="BNW18" s="582"/>
      <c r="BNX18" s="582"/>
      <c r="BNY18" s="582"/>
      <c r="BNZ18" s="582"/>
      <c r="BOA18" s="582"/>
      <c r="BOB18" s="582"/>
      <c r="BOC18" s="582"/>
      <c r="BOD18" s="582"/>
      <c r="BOE18" s="582"/>
      <c r="BOF18" s="582"/>
      <c r="BOG18" s="582"/>
      <c r="BOH18" s="582"/>
      <c r="BOI18" s="582"/>
      <c r="BOJ18" s="582"/>
      <c r="BOK18" s="582"/>
      <c r="BOL18" s="582"/>
      <c r="BOM18" s="582"/>
      <c r="BON18" s="582"/>
      <c r="BOO18" s="582"/>
      <c r="BOP18" s="582"/>
      <c r="BOQ18" s="582"/>
      <c r="BOR18" s="582"/>
      <c r="BOS18" s="582"/>
      <c r="BOT18" s="582"/>
      <c r="BOU18" s="582"/>
      <c r="BOV18" s="582"/>
      <c r="BOW18" s="582"/>
      <c r="BOX18" s="582"/>
      <c r="BOY18" s="582"/>
      <c r="BOZ18" s="582"/>
      <c r="BPA18" s="582"/>
      <c r="BPB18" s="582"/>
      <c r="BPC18" s="582"/>
      <c r="BPD18" s="582"/>
      <c r="BPE18" s="582"/>
      <c r="BPF18" s="582"/>
      <c r="BPG18" s="582"/>
      <c r="BPH18" s="582"/>
      <c r="BPI18" s="582"/>
      <c r="BPJ18" s="582"/>
      <c r="BPK18" s="582"/>
      <c r="BPL18" s="582"/>
      <c r="BPM18" s="582"/>
      <c r="BPN18" s="582"/>
      <c r="BPO18" s="582"/>
      <c r="BPP18" s="582"/>
      <c r="BPQ18" s="582"/>
      <c r="BPR18" s="582"/>
      <c r="BPS18" s="582"/>
      <c r="BPT18" s="582"/>
      <c r="BPU18" s="582"/>
      <c r="BPV18" s="582"/>
      <c r="BPW18" s="582"/>
      <c r="BPX18" s="582"/>
      <c r="BPY18" s="582"/>
      <c r="BPZ18" s="582"/>
      <c r="BQA18" s="582"/>
      <c r="BQB18" s="582"/>
      <c r="BQC18" s="582"/>
      <c r="BQD18" s="582"/>
      <c r="BQE18" s="582"/>
      <c r="BQF18" s="582"/>
      <c r="BQG18" s="582"/>
      <c r="BQH18" s="582"/>
      <c r="BQI18" s="582"/>
      <c r="BQJ18" s="582"/>
      <c r="BQK18" s="582"/>
      <c r="BQL18" s="582"/>
      <c r="BQM18" s="582"/>
      <c r="BQN18" s="582"/>
      <c r="BQO18" s="582"/>
      <c r="BQP18" s="582"/>
      <c r="BQQ18" s="582"/>
      <c r="BQR18" s="582"/>
      <c r="BQS18" s="582"/>
      <c r="BQT18" s="582"/>
      <c r="BQU18" s="582"/>
      <c r="BQV18" s="582"/>
      <c r="BQW18" s="582"/>
      <c r="BQX18" s="582"/>
      <c r="BQY18" s="582"/>
      <c r="BQZ18" s="582"/>
      <c r="BRA18" s="582"/>
      <c r="BRB18" s="582"/>
      <c r="BRC18" s="582"/>
      <c r="BRD18" s="582"/>
      <c r="BRE18" s="582"/>
      <c r="BRF18" s="582"/>
      <c r="BRG18" s="582"/>
      <c r="BRH18" s="582"/>
      <c r="BRI18" s="582"/>
      <c r="BRJ18" s="582"/>
      <c r="BRK18" s="582"/>
      <c r="BRL18" s="582"/>
      <c r="BRM18" s="582"/>
      <c r="BRN18" s="582"/>
      <c r="BRO18" s="582"/>
      <c r="BRP18" s="582"/>
      <c r="BRQ18" s="582"/>
      <c r="BRR18" s="582"/>
      <c r="BRS18" s="582"/>
      <c r="BRT18" s="582"/>
      <c r="BRU18" s="582"/>
      <c r="BRV18" s="582"/>
      <c r="BRW18" s="582"/>
      <c r="BRX18" s="582"/>
      <c r="BRY18" s="582"/>
      <c r="BRZ18" s="582"/>
      <c r="BSA18" s="582"/>
      <c r="BSB18" s="582"/>
      <c r="BSC18" s="582"/>
      <c r="BSD18" s="582"/>
      <c r="BSE18" s="582"/>
      <c r="BSF18" s="582"/>
      <c r="BSG18" s="582"/>
      <c r="BSH18" s="582"/>
      <c r="BSI18" s="582"/>
      <c r="BSJ18" s="582"/>
      <c r="BSK18" s="582"/>
      <c r="BSL18" s="582"/>
      <c r="BSM18" s="582"/>
      <c r="BSN18" s="582"/>
      <c r="BSO18" s="582"/>
      <c r="BSP18" s="582"/>
      <c r="BSQ18" s="582"/>
      <c r="BSR18" s="582"/>
      <c r="BSS18" s="582"/>
      <c r="BST18" s="582"/>
      <c r="BSU18" s="582"/>
      <c r="BSV18" s="582"/>
      <c r="BSW18" s="582"/>
      <c r="BSX18" s="582"/>
      <c r="BSY18" s="582"/>
      <c r="BSZ18" s="582"/>
      <c r="BTA18" s="582"/>
      <c r="BTB18" s="582"/>
      <c r="BTC18" s="582"/>
      <c r="BTD18" s="582"/>
      <c r="BTE18" s="582"/>
      <c r="BTF18" s="582"/>
      <c r="BTG18" s="582"/>
      <c r="BTH18" s="582"/>
      <c r="BTI18" s="582"/>
      <c r="BTJ18" s="582"/>
      <c r="BTK18" s="582"/>
      <c r="BTL18" s="582"/>
      <c r="BTM18" s="582"/>
      <c r="BTN18" s="582"/>
      <c r="BTO18" s="582"/>
      <c r="BTP18" s="582"/>
      <c r="BTQ18" s="582"/>
      <c r="BTR18" s="582"/>
      <c r="BTS18" s="582"/>
      <c r="BTT18" s="582"/>
      <c r="BTU18" s="582"/>
      <c r="BTV18" s="582"/>
      <c r="BTW18" s="582"/>
      <c r="BTX18" s="582"/>
      <c r="BTY18" s="582"/>
      <c r="BTZ18" s="582"/>
      <c r="BUA18" s="582"/>
      <c r="BUB18" s="582"/>
      <c r="BUC18" s="582"/>
      <c r="BUD18" s="582"/>
      <c r="BUE18" s="582"/>
      <c r="BUF18" s="582"/>
      <c r="BUG18" s="582"/>
      <c r="BUH18" s="582"/>
      <c r="BUI18" s="582"/>
      <c r="BUJ18" s="582"/>
      <c r="BUK18" s="582"/>
      <c r="BUL18" s="582"/>
      <c r="BUM18" s="582"/>
      <c r="BUN18" s="582"/>
      <c r="BUO18" s="582"/>
      <c r="BUP18" s="582"/>
      <c r="BUQ18" s="582"/>
      <c r="BUR18" s="582"/>
      <c r="BUS18" s="582"/>
      <c r="BUT18" s="582"/>
      <c r="BUU18" s="582"/>
      <c r="BUV18" s="582"/>
      <c r="BUW18" s="582"/>
      <c r="BUX18" s="582"/>
      <c r="BUY18" s="582"/>
      <c r="BUZ18" s="582"/>
      <c r="BVA18" s="582"/>
      <c r="BVB18" s="582"/>
      <c r="BVC18" s="582"/>
      <c r="BVD18" s="582"/>
      <c r="BVE18" s="582"/>
      <c r="BVF18" s="582"/>
      <c r="BVG18" s="582"/>
      <c r="BVH18" s="582"/>
      <c r="BVI18" s="582"/>
      <c r="BVJ18" s="582"/>
      <c r="BVK18" s="582"/>
      <c r="BVL18" s="582"/>
      <c r="BVM18" s="582"/>
      <c r="BVN18" s="582"/>
      <c r="BVO18" s="582"/>
      <c r="BVP18" s="582"/>
      <c r="BVQ18" s="582"/>
      <c r="BVR18" s="582"/>
      <c r="BVS18" s="582"/>
      <c r="BVT18" s="582"/>
      <c r="BVU18" s="582"/>
      <c r="BVV18" s="582"/>
      <c r="BVW18" s="582"/>
      <c r="BVX18" s="582"/>
      <c r="BVY18" s="582"/>
      <c r="BVZ18" s="582"/>
      <c r="BWA18" s="582"/>
      <c r="BWB18" s="582"/>
      <c r="BWC18" s="582"/>
      <c r="BWD18" s="582"/>
      <c r="BWE18" s="582"/>
      <c r="BWF18" s="582"/>
      <c r="BWG18" s="582"/>
      <c r="BWH18" s="582"/>
      <c r="BWI18" s="582"/>
      <c r="BWJ18" s="582"/>
      <c r="BWK18" s="582"/>
      <c r="BWL18" s="582"/>
      <c r="BWM18" s="582"/>
      <c r="BWN18" s="582"/>
      <c r="BWO18" s="582"/>
      <c r="BWP18" s="582"/>
      <c r="BWQ18" s="582"/>
      <c r="BWR18" s="582"/>
      <c r="BWS18" s="582"/>
      <c r="BWT18" s="582"/>
      <c r="BWU18" s="582"/>
      <c r="BWV18" s="582"/>
      <c r="BWW18" s="582"/>
      <c r="BWX18" s="582"/>
      <c r="BWY18" s="582"/>
      <c r="BWZ18" s="582"/>
      <c r="BXA18" s="582"/>
      <c r="BXB18" s="582"/>
      <c r="BXC18" s="582"/>
      <c r="BXD18" s="582"/>
      <c r="BXE18" s="582"/>
      <c r="BXF18" s="582"/>
      <c r="BXG18" s="582"/>
      <c r="BXH18" s="582"/>
      <c r="BXI18" s="582"/>
      <c r="BXJ18" s="582"/>
      <c r="BXK18" s="582"/>
      <c r="BXL18" s="582"/>
      <c r="BXM18" s="582"/>
      <c r="BXN18" s="582"/>
      <c r="BXO18" s="582"/>
      <c r="BXP18" s="582"/>
      <c r="BXQ18" s="582"/>
      <c r="BXR18" s="582"/>
      <c r="BXS18" s="582"/>
      <c r="BXT18" s="582"/>
      <c r="BXU18" s="582"/>
      <c r="BXV18" s="582"/>
      <c r="BXW18" s="582"/>
      <c r="BXX18" s="582"/>
      <c r="BXY18" s="582"/>
      <c r="BXZ18" s="582"/>
      <c r="BYA18" s="582"/>
      <c r="BYB18" s="582"/>
      <c r="BYC18" s="582"/>
      <c r="BYD18" s="582"/>
      <c r="BYE18" s="582"/>
      <c r="BYF18" s="582"/>
      <c r="BYG18" s="582"/>
      <c r="BYH18" s="582"/>
      <c r="BYI18" s="582"/>
      <c r="BYJ18" s="582"/>
      <c r="BYK18" s="582"/>
      <c r="BYL18" s="582"/>
      <c r="BYM18" s="582"/>
      <c r="BYN18" s="582"/>
      <c r="BYO18" s="582"/>
      <c r="BYP18" s="582"/>
      <c r="BYQ18" s="582"/>
      <c r="BYR18" s="582"/>
      <c r="BYS18" s="582"/>
      <c r="BYT18" s="582"/>
      <c r="BYU18" s="582"/>
      <c r="BYV18" s="582"/>
      <c r="BYW18" s="582"/>
      <c r="BYX18" s="582"/>
      <c r="BYY18" s="582"/>
      <c r="BYZ18" s="582"/>
      <c r="BZA18" s="582"/>
      <c r="BZB18" s="582"/>
      <c r="BZC18" s="582"/>
      <c r="BZD18" s="582"/>
      <c r="BZE18" s="582"/>
      <c r="BZF18" s="582"/>
      <c r="BZG18" s="582"/>
      <c r="BZH18" s="582"/>
      <c r="BZI18" s="582"/>
      <c r="BZJ18" s="582"/>
      <c r="BZK18" s="582"/>
      <c r="BZL18" s="582"/>
      <c r="BZM18" s="582"/>
      <c r="BZN18" s="582"/>
      <c r="BZO18" s="582"/>
      <c r="BZP18" s="582"/>
      <c r="BZQ18" s="582"/>
      <c r="BZR18" s="582"/>
      <c r="BZS18" s="582"/>
      <c r="BZT18" s="582"/>
      <c r="BZU18" s="582"/>
      <c r="BZV18" s="582"/>
      <c r="BZW18" s="582"/>
      <c r="BZX18" s="582"/>
      <c r="BZY18" s="582"/>
      <c r="BZZ18" s="582"/>
      <c r="CAA18" s="582"/>
      <c r="CAB18" s="582"/>
      <c r="CAC18" s="582"/>
      <c r="CAD18" s="582"/>
      <c r="CAE18" s="582"/>
      <c r="CAF18" s="582"/>
      <c r="CAG18" s="582"/>
      <c r="CAH18" s="582"/>
      <c r="CAI18" s="582"/>
      <c r="CAJ18" s="582"/>
      <c r="CAK18" s="582"/>
      <c r="CAL18" s="582"/>
      <c r="CAM18" s="582"/>
      <c r="CAN18" s="582"/>
      <c r="CAO18" s="582"/>
      <c r="CAP18" s="582"/>
      <c r="CAQ18" s="582"/>
      <c r="CAR18" s="582"/>
      <c r="CAS18" s="582"/>
      <c r="CAT18" s="582"/>
      <c r="CAU18" s="582"/>
      <c r="CAV18" s="582"/>
      <c r="CAW18" s="582"/>
      <c r="CAX18" s="582"/>
      <c r="CAY18" s="582"/>
      <c r="CAZ18" s="582"/>
      <c r="CBA18" s="582"/>
      <c r="CBB18" s="582"/>
      <c r="CBC18" s="582"/>
      <c r="CBD18" s="582"/>
      <c r="CBE18" s="582"/>
      <c r="CBF18" s="582"/>
      <c r="CBG18" s="582"/>
      <c r="CBH18" s="582"/>
      <c r="CBI18" s="582"/>
      <c r="CBJ18" s="582"/>
      <c r="CBK18" s="582"/>
      <c r="CBL18" s="582"/>
      <c r="CBM18" s="582"/>
      <c r="CBN18" s="582"/>
      <c r="CBO18" s="582"/>
      <c r="CBP18" s="582"/>
      <c r="CBQ18" s="582"/>
      <c r="CBR18" s="582"/>
      <c r="CBS18" s="582"/>
      <c r="CBT18" s="582"/>
      <c r="CBU18" s="582"/>
      <c r="CBV18" s="582"/>
      <c r="CBW18" s="582"/>
      <c r="CBX18" s="582"/>
      <c r="CBY18" s="582"/>
      <c r="CBZ18" s="582"/>
      <c r="CCA18" s="582"/>
      <c r="CCB18" s="582"/>
      <c r="CCC18" s="582"/>
      <c r="CCD18" s="582"/>
      <c r="CCE18" s="582"/>
      <c r="CCF18" s="582"/>
      <c r="CCG18" s="582"/>
      <c r="CCH18" s="582"/>
      <c r="CCI18" s="582"/>
      <c r="CCJ18" s="582"/>
      <c r="CCK18" s="582"/>
      <c r="CCL18" s="582"/>
      <c r="CCM18" s="582"/>
      <c r="CCN18" s="582"/>
      <c r="CCO18" s="582"/>
      <c r="CCP18" s="582"/>
      <c r="CCQ18" s="582"/>
      <c r="CCR18" s="582"/>
      <c r="CCS18" s="582"/>
      <c r="CCT18" s="582"/>
      <c r="CCU18" s="582"/>
      <c r="CCV18" s="582"/>
      <c r="CCW18" s="582"/>
      <c r="CCX18" s="582"/>
      <c r="CCY18" s="582"/>
      <c r="CCZ18" s="582"/>
      <c r="CDA18" s="582"/>
      <c r="CDB18" s="582"/>
      <c r="CDC18" s="582"/>
      <c r="CDD18" s="582"/>
      <c r="CDE18" s="582"/>
      <c r="CDF18" s="582"/>
      <c r="CDG18" s="582"/>
      <c r="CDH18" s="582"/>
      <c r="CDI18" s="582"/>
      <c r="CDJ18" s="582"/>
      <c r="CDK18" s="582"/>
      <c r="CDL18" s="582"/>
      <c r="CDM18" s="582"/>
      <c r="CDN18" s="582"/>
      <c r="CDO18" s="582"/>
      <c r="CDP18" s="582"/>
      <c r="CDQ18" s="582"/>
      <c r="CDR18" s="582"/>
      <c r="CDS18" s="582"/>
      <c r="CDT18" s="582"/>
      <c r="CDU18" s="582"/>
      <c r="CDV18" s="582"/>
      <c r="CDW18" s="582"/>
      <c r="CDX18" s="582"/>
      <c r="CDY18" s="582"/>
      <c r="CDZ18" s="582"/>
      <c r="CEA18" s="582"/>
      <c r="CEB18" s="582"/>
      <c r="CEC18" s="582"/>
      <c r="CED18" s="582"/>
      <c r="CEE18" s="582"/>
      <c r="CEF18" s="582"/>
      <c r="CEG18" s="582"/>
      <c r="CEH18" s="582"/>
      <c r="CEI18" s="582"/>
      <c r="CEJ18" s="582"/>
      <c r="CEK18" s="582"/>
      <c r="CEL18" s="582"/>
      <c r="CEM18" s="582"/>
      <c r="CEN18" s="582"/>
      <c r="CEO18" s="582"/>
      <c r="CEP18" s="582"/>
      <c r="CEQ18" s="582"/>
      <c r="CER18" s="582"/>
      <c r="CES18" s="582"/>
      <c r="CET18" s="582"/>
      <c r="CEU18" s="582"/>
      <c r="CEV18" s="582"/>
      <c r="CEW18" s="582"/>
      <c r="CEX18" s="582"/>
      <c r="CEY18" s="582"/>
      <c r="CEZ18" s="582"/>
      <c r="CFA18" s="582"/>
      <c r="CFB18" s="582"/>
      <c r="CFC18" s="582"/>
      <c r="CFD18" s="582"/>
      <c r="CFE18" s="582"/>
      <c r="CFF18" s="582"/>
      <c r="CFG18" s="582"/>
      <c r="CFH18" s="582"/>
      <c r="CFI18" s="582"/>
      <c r="CFJ18" s="582"/>
      <c r="CFK18" s="582"/>
      <c r="CFL18" s="582"/>
      <c r="CFM18" s="582"/>
      <c r="CFN18" s="582"/>
      <c r="CFO18" s="582"/>
      <c r="CFP18" s="582"/>
      <c r="CFQ18" s="582"/>
      <c r="CFR18" s="582"/>
      <c r="CFS18" s="582"/>
      <c r="CFT18" s="582"/>
      <c r="CFU18" s="582"/>
      <c r="CFV18" s="582"/>
      <c r="CFW18" s="582"/>
      <c r="CFX18" s="582"/>
      <c r="CFY18" s="582"/>
      <c r="CFZ18" s="582"/>
      <c r="CGA18" s="582"/>
      <c r="CGB18" s="582"/>
      <c r="CGC18" s="582"/>
      <c r="CGD18" s="582"/>
      <c r="CGE18" s="582"/>
      <c r="CGF18" s="582"/>
      <c r="CGG18" s="582"/>
      <c r="CGH18" s="582"/>
      <c r="CGI18" s="582"/>
      <c r="CGJ18" s="582"/>
      <c r="CGK18" s="582"/>
      <c r="CGL18" s="582"/>
      <c r="CGM18" s="582"/>
      <c r="CGN18" s="582"/>
      <c r="CGO18" s="582"/>
      <c r="CGP18" s="582"/>
      <c r="CGQ18" s="582"/>
      <c r="CGR18" s="582"/>
      <c r="CGS18" s="582"/>
      <c r="CGT18" s="582"/>
      <c r="CGU18" s="582"/>
      <c r="CGV18" s="582"/>
      <c r="CGW18" s="582"/>
      <c r="CGX18" s="582"/>
      <c r="CGY18" s="582"/>
      <c r="CGZ18" s="582"/>
      <c r="CHA18" s="582"/>
      <c r="CHB18" s="582"/>
      <c r="CHC18" s="582"/>
      <c r="CHD18" s="582"/>
      <c r="CHE18" s="582"/>
      <c r="CHF18" s="582"/>
      <c r="CHG18" s="582"/>
      <c r="CHH18" s="582"/>
      <c r="CHI18" s="582"/>
      <c r="CHJ18" s="582"/>
      <c r="CHK18" s="582"/>
      <c r="CHL18" s="582"/>
      <c r="CHM18" s="582"/>
      <c r="CHN18" s="582"/>
      <c r="CHO18" s="582"/>
      <c r="CHP18" s="582"/>
      <c r="CHQ18" s="582"/>
      <c r="CHR18" s="582"/>
      <c r="CHS18" s="582"/>
      <c r="CHT18" s="582"/>
      <c r="CHU18" s="582"/>
      <c r="CHV18" s="582"/>
      <c r="CHW18" s="582"/>
      <c r="CHX18" s="582"/>
      <c r="CHY18" s="582"/>
      <c r="CHZ18" s="582"/>
      <c r="CIA18" s="582"/>
      <c r="CIB18" s="582"/>
      <c r="CIC18" s="582"/>
      <c r="CID18" s="582"/>
      <c r="CIE18" s="582"/>
      <c r="CIF18" s="582"/>
      <c r="CIG18" s="582"/>
      <c r="CIH18" s="582"/>
      <c r="CII18" s="582"/>
      <c r="CIJ18" s="582"/>
      <c r="CIK18" s="582"/>
      <c r="CIL18" s="582"/>
      <c r="CIM18" s="582"/>
      <c r="CIN18" s="582"/>
      <c r="CIO18" s="582"/>
      <c r="CIP18" s="582"/>
      <c r="CIQ18" s="582"/>
      <c r="CIR18" s="582"/>
      <c r="CIS18" s="582"/>
      <c r="CIT18" s="582"/>
      <c r="CIU18" s="582"/>
      <c r="CIV18" s="582"/>
      <c r="CIW18" s="582"/>
      <c r="CIX18" s="582"/>
      <c r="CIY18" s="582"/>
      <c r="CIZ18" s="582"/>
      <c r="CJA18" s="582"/>
      <c r="CJB18" s="582"/>
      <c r="CJC18" s="582"/>
      <c r="CJD18" s="582"/>
      <c r="CJE18" s="582"/>
      <c r="CJF18" s="582"/>
      <c r="CJG18" s="582"/>
      <c r="CJH18" s="582"/>
      <c r="CJI18" s="582"/>
      <c r="CJJ18" s="582"/>
      <c r="CJK18" s="582"/>
      <c r="CJL18" s="582"/>
      <c r="CJM18" s="582"/>
      <c r="CJN18" s="582"/>
      <c r="CJO18" s="582"/>
      <c r="CJP18" s="582"/>
      <c r="CJQ18" s="582"/>
      <c r="CJR18" s="582"/>
      <c r="CJS18" s="582"/>
      <c r="CJT18" s="582"/>
      <c r="CJU18" s="582"/>
      <c r="CJV18" s="582"/>
      <c r="CJW18" s="582"/>
      <c r="CJX18" s="582"/>
      <c r="CJY18" s="582"/>
      <c r="CJZ18" s="582"/>
      <c r="CKA18" s="582"/>
      <c r="CKB18" s="582"/>
      <c r="CKC18" s="582"/>
      <c r="CKD18" s="582"/>
      <c r="CKE18" s="582"/>
      <c r="CKF18" s="582"/>
      <c r="CKG18" s="582"/>
      <c r="CKH18" s="582"/>
      <c r="CKI18" s="582"/>
      <c r="CKJ18" s="582"/>
      <c r="CKK18" s="582"/>
      <c r="CKL18" s="582"/>
      <c r="CKM18" s="582"/>
      <c r="CKN18" s="582"/>
      <c r="CKO18" s="582"/>
      <c r="CKP18" s="582"/>
      <c r="CKQ18" s="582"/>
      <c r="CKR18" s="582"/>
      <c r="CKS18" s="582"/>
      <c r="CKT18" s="582"/>
      <c r="CKU18" s="582"/>
      <c r="CKV18" s="582"/>
      <c r="CKW18" s="582"/>
      <c r="CKX18" s="582"/>
      <c r="CKY18" s="582"/>
      <c r="CKZ18" s="582"/>
      <c r="CLA18" s="582"/>
      <c r="CLB18" s="582"/>
      <c r="CLC18" s="582"/>
      <c r="CLD18" s="582"/>
      <c r="CLE18" s="582"/>
      <c r="CLF18" s="582"/>
      <c r="CLG18" s="582"/>
      <c r="CLH18" s="582"/>
      <c r="CLI18" s="582"/>
      <c r="CLJ18" s="582"/>
      <c r="CLK18" s="582"/>
      <c r="CLL18" s="582"/>
      <c r="CLM18" s="582"/>
      <c r="CLN18" s="582"/>
      <c r="CLO18" s="582"/>
      <c r="CLP18" s="582"/>
      <c r="CLQ18" s="582"/>
      <c r="CLR18" s="582"/>
      <c r="CLS18" s="582"/>
      <c r="CLT18" s="582"/>
      <c r="CLU18" s="582"/>
      <c r="CLV18" s="582"/>
      <c r="CLW18" s="582"/>
      <c r="CLX18" s="582"/>
      <c r="CLY18" s="582"/>
      <c r="CLZ18" s="582"/>
      <c r="CMA18" s="582"/>
      <c r="CMB18" s="582"/>
      <c r="CMC18" s="582"/>
      <c r="CMD18" s="582"/>
      <c r="CME18" s="582"/>
      <c r="CMF18" s="582"/>
      <c r="CMG18" s="582"/>
      <c r="CMH18" s="582"/>
      <c r="CMI18" s="582"/>
      <c r="CMJ18" s="582"/>
      <c r="CMK18" s="582"/>
      <c r="CML18" s="582"/>
      <c r="CMM18" s="582"/>
      <c r="CMN18" s="582"/>
      <c r="CMO18" s="582"/>
      <c r="CMP18" s="582"/>
      <c r="CMQ18" s="582"/>
      <c r="CMR18" s="582"/>
      <c r="CMS18" s="582"/>
      <c r="CMT18" s="582"/>
      <c r="CMU18" s="582"/>
      <c r="CMV18" s="582"/>
      <c r="CMW18" s="582"/>
      <c r="CMX18" s="582"/>
      <c r="CMY18" s="582"/>
      <c r="CMZ18" s="582"/>
      <c r="CNA18" s="582"/>
      <c r="CNB18" s="582"/>
      <c r="CNC18" s="582"/>
      <c r="CND18" s="582"/>
      <c r="CNE18" s="582"/>
      <c r="CNF18" s="582"/>
      <c r="CNG18" s="582"/>
      <c r="CNH18" s="582"/>
      <c r="CNI18" s="582"/>
      <c r="CNJ18" s="582"/>
      <c r="CNK18" s="582"/>
      <c r="CNL18" s="582"/>
      <c r="CNM18" s="582"/>
      <c r="CNN18" s="582"/>
      <c r="CNO18" s="582"/>
      <c r="CNP18" s="582"/>
      <c r="CNQ18" s="582"/>
      <c r="CNR18" s="582"/>
      <c r="CNS18" s="582"/>
      <c r="CNT18" s="582"/>
      <c r="CNU18" s="582"/>
      <c r="CNV18" s="582"/>
      <c r="CNW18" s="582"/>
      <c r="CNX18" s="582"/>
      <c r="CNY18" s="582"/>
      <c r="CNZ18" s="582"/>
      <c r="COA18" s="582"/>
      <c r="COB18" s="582"/>
      <c r="COC18" s="582"/>
      <c r="COD18" s="582"/>
      <c r="COE18" s="582"/>
      <c r="COF18" s="582"/>
      <c r="COG18" s="582"/>
      <c r="COH18" s="582"/>
      <c r="COI18" s="582"/>
      <c r="COJ18" s="582"/>
      <c r="COK18" s="582"/>
      <c r="COL18" s="582"/>
      <c r="COM18" s="582"/>
      <c r="CON18" s="582"/>
      <c r="COO18" s="582"/>
      <c r="COP18" s="582"/>
      <c r="COQ18" s="582"/>
      <c r="COR18" s="582"/>
      <c r="COS18" s="582"/>
      <c r="COT18" s="582"/>
      <c r="COU18" s="582"/>
      <c r="COV18" s="582"/>
      <c r="COW18" s="582"/>
      <c r="COX18" s="582"/>
      <c r="COY18" s="582"/>
      <c r="COZ18" s="582"/>
      <c r="CPA18" s="582"/>
      <c r="CPB18" s="582"/>
      <c r="CPC18" s="582"/>
      <c r="CPD18" s="582"/>
      <c r="CPE18" s="582"/>
      <c r="CPF18" s="582"/>
      <c r="CPG18" s="582"/>
      <c r="CPH18" s="582"/>
      <c r="CPI18" s="582"/>
      <c r="CPJ18" s="582"/>
      <c r="CPK18" s="582"/>
      <c r="CPL18" s="582"/>
      <c r="CPM18" s="582"/>
      <c r="CPN18" s="582"/>
      <c r="CPO18" s="582"/>
      <c r="CPP18" s="582"/>
      <c r="CPQ18" s="582"/>
      <c r="CPR18" s="582"/>
      <c r="CPS18" s="582"/>
      <c r="CPT18" s="582"/>
      <c r="CPU18" s="582"/>
      <c r="CPV18" s="582"/>
      <c r="CPW18" s="582"/>
      <c r="CPX18" s="582"/>
      <c r="CPY18" s="582"/>
      <c r="CPZ18" s="582"/>
      <c r="CQA18" s="582"/>
      <c r="CQB18" s="582"/>
      <c r="CQC18" s="582"/>
      <c r="CQD18" s="582"/>
      <c r="CQE18" s="582"/>
      <c r="CQF18" s="582"/>
      <c r="CQG18" s="582"/>
      <c r="CQH18" s="582"/>
      <c r="CQI18" s="582"/>
      <c r="CQJ18" s="582"/>
      <c r="CQK18" s="582"/>
      <c r="CQL18" s="582"/>
      <c r="CQM18" s="582"/>
      <c r="CQN18" s="582"/>
      <c r="CQO18" s="582"/>
      <c r="CQP18" s="582"/>
      <c r="CQQ18" s="582"/>
      <c r="CQR18" s="582"/>
      <c r="CQS18" s="582"/>
      <c r="CQT18" s="582"/>
      <c r="CQU18" s="582"/>
      <c r="CQV18" s="582"/>
      <c r="CQW18" s="582"/>
      <c r="CQX18" s="582"/>
      <c r="CQY18" s="582"/>
      <c r="CQZ18" s="582"/>
      <c r="CRA18" s="582"/>
      <c r="CRB18" s="582"/>
      <c r="CRC18" s="582"/>
      <c r="CRD18" s="582"/>
      <c r="CRE18" s="582"/>
      <c r="CRF18" s="582"/>
      <c r="CRG18" s="582"/>
      <c r="CRH18" s="582"/>
      <c r="CRI18" s="582"/>
      <c r="CRJ18" s="582"/>
      <c r="CRK18" s="582"/>
      <c r="CRL18" s="582"/>
      <c r="CRM18" s="582"/>
      <c r="CRN18" s="582"/>
      <c r="CRO18" s="582"/>
      <c r="CRP18" s="582"/>
      <c r="CRQ18" s="582"/>
      <c r="CRR18" s="582"/>
      <c r="CRS18" s="582"/>
      <c r="CRT18" s="582"/>
      <c r="CRU18" s="582"/>
      <c r="CRV18" s="582"/>
      <c r="CRW18" s="582"/>
      <c r="CRX18" s="582"/>
      <c r="CRY18" s="582"/>
      <c r="CRZ18" s="582"/>
      <c r="CSA18" s="582"/>
      <c r="CSB18" s="582"/>
      <c r="CSC18" s="582"/>
      <c r="CSD18" s="582"/>
      <c r="CSE18" s="582"/>
      <c r="CSF18" s="582"/>
      <c r="CSG18" s="582"/>
      <c r="CSH18" s="582"/>
      <c r="CSI18" s="582"/>
      <c r="CSJ18" s="582"/>
      <c r="CSK18" s="582"/>
      <c r="CSL18" s="582"/>
      <c r="CSM18" s="582"/>
      <c r="CSN18" s="582"/>
      <c r="CSO18" s="582"/>
      <c r="CSP18" s="582"/>
      <c r="CSQ18" s="582"/>
      <c r="CSR18" s="582"/>
      <c r="CSS18" s="582"/>
      <c r="CST18" s="582"/>
      <c r="CSU18" s="582"/>
      <c r="CSV18" s="582"/>
      <c r="CSW18" s="582"/>
      <c r="CSX18" s="582"/>
      <c r="CSY18" s="582"/>
      <c r="CSZ18" s="582"/>
      <c r="CTA18" s="582"/>
      <c r="CTB18" s="582"/>
      <c r="CTC18" s="582"/>
      <c r="CTD18" s="582"/>
      <c r="CTE18" s="582"/>
      <c r="CTF18" s="582"/>
      <c r="CTG18" s="582"/>
      <c r="CTH18" s="582"/>
      <c r="CTI18" s="582"/>
      <c r="CTJ18" s="582"/>
      <c r="CTK18" s="582"/>
      <c r="CTL18" s="582"/>
      <c r="CTM18" s="582"/>
      <c r="CTN18" s="582"/>
      <c r="CTO18" s="582"/>
      <c r="CTP18" s="582"/>
      <c r="CTQ18" s="582"/>
      <c r="CTR18" s="582"/>
      <c r="CTS18" s="582"/>
      <c r="CTT18" s="582"/>
      <c r="CTU18" s="582"/>
      <c r="CTV18" s="582"/>
      <c r="CTW18" s="582"/>
      <c r="CTX18" s="582"/>
      <c r="CTY18" s="582"/>
      <c r="CTZ18" s="582"/>
      <c r="CUA18" s="582"/>
      <c r="CUB18" s="582"/>
      <c r="CUC18" s="582"/>
      <c r="CUD18" s="582"/>
      <c r="CUE18" s="582"/>
      <c r="CUF18" s="582"/>
      <c r="CUG18" s="582"/>
      <c r="CUH18" s="582"/>
      <c r="CUI18" s="582"/>
      <c r="CUJ18" s="582"/>
      <c r="CUK18" s="582"/>
      <c r="CUL18" s="582"/>
      <c r="CUM18" s="582"/>
      <c r="CUN18" s="582"/>
      <c r="CUO18" s="582"/>
      <c r="CUP18" s="582"/>
      <c r="CUQ18" s="582"/>
      <c r="CUR18" s="582"/>
      <c r="CUS18" s="582"/>
      <c r="CUT18" s="582"/>
      <c r="CUU18" s="582"/>
      <c r="CUV18" s="582"/>
      <c r="CUW18" s="582"/>
      <c r="CUX18" s="582"/>
      <c r="CUY18" s="582"/>
      <c r="CUZ18" s="582"/>
      <c r="CVA18" s="582"/>
      <c r="CVB18" s="582"/>
      <c r="CVC18" s="582"/>
      <c r="CVD18" s="582"/>
      <c r="CVE18" s="582"/>
      <c r="CVF18" s="582"/>
      <c r="CVG18" s="582"/>
      <c r="CVH18" s="582"/>
      <c r="CVI18" s="582"/>
      <c r="CVJ18" s="582"/>
      <c r="CVK18" s="582"/>
      <c r="CVL18" s="582"/>
      <c r="CVM18" s="582"/>
      <c r="CVN18" s="582"/>
      <c r="CVO18" s="582"/>
      <c r="CVP18" s="582"/>
      <c r="CVQ18" s="582"/>
      <c r="CVR18" s="582"/>
      <c r="CVS18" s="582"/>
      <c r="CVT18" s="582"/>
      <c r="CVU18" s="582"/>
      <c r="CVV18" s="582"/>
      <c r="CVW18" s="582"/>
      <c r="CVX18" s="582"/>
      <c r="CVY18" s="582"/>
      <c r="CVZ18" s="582"/>
      <c r="CWA18" s="582"/>
      <c r="CWB18" s="582"/>
      <c r="CWC18" s="582"/>
      <c r="CWD18" s="582"/>
      <c r="CWE18" s="582"/>
      <c r="CWF18" s="582"/>
      <c r="CWG18" s="582"/>
      <c r="CWH18" s="582"/>
      <c r="CWI18" s="582"/>
      <c r="CWJ18" s="582"/>
      <c r="CWK18" s="582"/>
      <c r="CWL18" s="582"/>
      <c r="CWM18" s="582"/>
      <c r="CWN18" s="582"/>
      <c r="CWO18" s="582"/>
      <c r="CWP18" s="582"/>
      <c r="CWQ18" s="582"/>
      <c r="CWR18" s="582"/>
      <c r="CWS18" s="582"/>
      <c r="CWT18" s="582"/>
      <c r="CWU18" s="582"/>
      <c r="CWV18" s="582"/>
      <c r="CWW18" s="582"/>
      <c r="CWX18" s="582"/>
      <c r="CWY18" s="582"/>
      <c r="CWZ18" s="582"/>
      <c r="CXA18" s="582"/>
      <c r="CXB18" s="582"/>
      <c r="CXC18" s="582"/>
      <c r="CXD18" s="582"/>
      <c r="CXE18" s="582"/>
      <c r="CXF18" s="582"/>
      <c r="CXG18" s="582"/>
      <c r="CXH18" s="582"/>
      <c r="CXI18" s="582"/>
      <c r="CXJ18" s="582"/>
      <c r="CXK18" s="582"/>
      <c r="CXL18" s="582"/>
      <c r="CXM18" s="582"/>
      <c r="CXN18" s="582"/>
      <c r="CXO18" s="582"/>
      <c r="CXP18" s="582"/>
      <c r="CXQ18" s="582"/>
      <c r="CXR18" s="582"/>
      <c r="CXS18" s="582"/>
      <c r="CXT18" s="582"/>
      <c r="CXU18" s="582"/>
      <c r="CXV18" s="582"/>
      <c r="CXW18" s="582"/>
      <c r="CXX18" s="582"/>
      <c r="CXY18" s="582"/>
      <c r="CXZ18" s="582"/>
      <c r="CYA18" s="582"/>
      <c r="CYB18" s="582"/>
      <c r="CYC18" s="582"/>
      <c r="CYD18" s="582"/>
      <c r="CYE18" s="582"/>
      <c r="CYF18" s="582"/>
      <c r="CYG18" s="582"/>
      <c r="CYH18" s="582"/>
      <c r="CYI18" s="582"/>
      <c r="CYJ18" s="582"/>
      <c r="CYK18" s="582"/>
      <c r="CYL18" s="582"/>
      <c r="CYM18" s="582"/>
      <c r="CYN18" s="582"/>
      <c r="CYO18" s="582"/>
      <c r="CYP18" s="582"/>
      <c r="CYQ18" s="582"/>
      <c r="CYR18" s="582"/>
      <c r="CYS18" s="582"/>
      <c r="CYT18" s="582"/>
      <c r="CYU18" s="582"/>
      <c r="CYV18" s="582"/>
      <c r="CYW18" s="582"/>
      <c r="CYX18" s="582"/>
      <c r="CYY18" s="582"/>
      <c r="CYZ18" s="582"/>
      <c r="CZA18" s="582"/>
      <c r="CZB18" s="582"/>
      <c r="CZC18" s="582"/>
      <c r="CZD18" s="582"/>
      <c r="CZE18" s="582"/>
      <c r="CZF18" s="582"/>
      <c r="CZG18" s="582"/>
      <c r="CZH18" s="582"/>
      <c r="CZI18" s="582"/>
      <c r="CZJ18" s="582"/>
      <c r="CZK18" s="582"/>
      <c r="CZL18" s="582"/>
      <c r="CZM18" s="582"/>
      <c r="CZN18" s="582"/>
      <c r="CZO18" s="582"/>
      <c r="CZP18" s="582"/>
      <c r="CZQ18" s="582"/>
      <c r="CZR18" s="582"/>
      <c r="CZS18" s="582"/>
      <c r="CZT18" s="582"/>
      <c r="CZU18" s="582"/>
      <c r="CZV18" s="582"/>
      <c r="CZW18" s="582"/>
      <c r="CZX18" s="582"/>
      <c r="CZY18" s="582"/>
      <c r="CZZ18" s="582"/>
      <c r="DAA18" s="582"/>
      <c r="DAB18" s="582"/>
      <c r="DAC18" s="582"/>
      <c r="DAD18" s="582"/>
      <c r="DAE18" s="582"/>
      <c r="DAF18" s="582"/>
      <c r="DAG18" s="582"/>
      <c r="DAH18" s="582"/>
      <c r="DAI18" s="582"/>
      <c r="DAJ18" s="582"/>
      <c r="DAK18" s="582"/>
      <c r="DAL18" s="582"/>
      <c r="DAM18" s="582"/>
      <c r="DAN18" s="582"/>
      <c r="DAO18" s="582"/>
      <c r="DAP18" s="582"/>
      <c r="DAQ18" s="582"/>
      <c r="DAR18" s="582"/>
      <c r="DAS18" s="582"/>
      <c r="DAT18" s="582"/>
      <c r="DAU18" s="582"/>
      <c r="DAV18" s="582"/>
      <c r="DAW18" s="582"/>
      <c r="DAX18" s="582"/>
      <c r="DAY18" s="582"/>
      <c r="DAZ18" s="582"/>
      <c r="DBA18" s="582"/>
      <c r="DBB18" s="582"/>
      <c r="DBC18" s="582"/>
      <c r="DBD18" s="582"/>
      <c r="DBE18" s="582"/>
      <c r="DBF18" s="582"/>
      <c r="DBG18" s="582"/>
      <c r="DBH18" s="582"/>
      <c r="DBI18" s="582"/>
      <c r="DBJ18" s="582"/>
      <c r="DBK18" s="582"/>
      <c r="DBL18" s="582"/>
      <c r="DBM18" s="582"/>
      <c r="DBN18" s="582"/>
      <c r="DBO18" s="582"/>
      <c r="DBP18" s="582"/>
      <c r="DBQ18" s="582"/>
      <c r="DBR18" s="582"/>
      <c r="DBS18" s="582"/>
      <c r="DBT18" s="582"/>
      <c r="DBU18" s="582"/>
      <c r="DBV18" s="582"/>
      <c r="DBW18" s="582"/>
      <c r="DBX18" s="582"/>
      <c r="DBY18" s="582"/>
      <c r="DBZ18" s="582"/>
      <c r="DCA18" s="582"/>
      <c r="DCB18" s="582"/>
      <c r="DCC18" s="582"/>
      <c r="DCD18" s="582"/>
      <c r="DCE18" s="582"/>
      <c r="DCF18" s="582"/>
      <c r="DCG18" s="582"/>
      <c r="DCH18" s="582"/>
      <c r="DCI18" s="582"/>
      <c r="DCJ18" s="582"/>
      <c r="DCK18" s="582"/>
      <c r="DCL18" s="582"/>
      <c r="DCM18" s="582"/>
      <c r="DCN18" s="582"/>
      <c r="DCO18" s="582"/>
      <c r="DCP18" s="582"/>
      <c r="DCQ18" s="582"/>
      <c r="DCR18" s="582"/>
      <c r="DCS18" s="582"/>
      <c r="DCT18" s="582"/>
      <c r="DCU18" s="582"/>
      <c r="DCV18" s="582"/>
      <c r="DCW18" s="582"/>
      <c r="DCX18" s="582"/>
      <c r="DCY18" s="582"/>
      <c r="DCZ18" s="582"/>
      <c r="DDA18" s="582"/>
      <c r="DDB18" s="582"/>
      <c r="DDC18" s="582"/>
      <c r="DDD18" s="582"/>
      <c r="DDE18" s="582"/>
      <c r="DDF18" s="582"/>
      <c r="DDG18" s="582"/>
      <c r="DDH18" s="582"/>
      <c r="DDI18" s="582"/>
      <c r="DDJ18" s="582"/>
      <c r="DDK18" s="582"/>
      <c r="DDL18" s="582"/>
      <c r="DDM18" s="582"/>
      <c r="DDN18" s="582"/>
      <c r="DDO18" s="582"/>
      <c r="DDP18" s="582"/>
      <c r="DDQ18" s="582"/>
      <c r="DDR18" s="582"/>
      <c r="DDS18" s="582"/>
      <c r="DDT18" s="582"/>
      <c r="DDU18" s="582"/>
      <c r="DDV18" s="582"/>
      <c r="DDW18" s="582"/>
      <c r="DDX18" s="582"/>
      <c r="DDY18" s="582"/>
      <c r="DDZ18" s="582"/>
      <c r="DEA18" s="582"/>
      <c r="DEB18" s="582"/>
      <c r="DEC18" s="582"/>
      <c r="DED18" s="582"/>
      <c r="DEE18" s="582"/>
      <c r="DEF18" s="582"/>
      <c r="DEG18" s="582"/>
      <c r="DEH18" s="582"/>
      <c r="DEI18" s="582"/>
      <c r="DEJ18" s="582"/>
      <c r="DEK18" s="582"/>
      <c r="DEL18" s="582"/>
      <c r="DEM18" s="582"/>
      <c r="DEN18" s="582"/>
      <c r="DEO18" s="582"/>
      <c r="DEP18" s="582"/>
      <c r="DEQ18" s="582"/>
      <c r="DER18" s="582"/>
      <c r="DES18" s="582"/>
      <c r="DET18" s="582"/>
      <c r="DEU18" s="582"/>
      <c r="DEV18" s="582"/>
      <c r="DEW18" s="582"/>
      <c r="DEX18" s="582"/>
      <c r="DEY18" s="582"/>
      <c r="DEZ18" s="582"/>
      <c r="DFA18" s="582"/>
      <c r="DFB18" s="582"/>
      <c r="DFC18" s="582"/>
      <c r="DFD18" s="582"/>
      <c r="DFE18" s="582"/>
      <c r="DFF18" s="582"/>
      <c r="DFG18" s="582"/>
      <c r="DFH18" s="582"/>
      <c r="DFI18" s="582"/>
      <c r="DFJ18" s="582"/>
      <c r="DFK18" s="582"/>
      <c r="DFL18" s="582"/>
      <c r="DFM18" s="582"/>
      <c r="DFN18" s="582"/>
      <c r="DFO18" s="582"/>
      <c r="DFP18" s="582"/>
      <c r="DFQ18" s="582"/>
      <c r="DFR18" s="582"/>
      <c r="DFS18" s="582"/>
      <c r="DFT18" s="582"/>
      <c r="DFU18" s="582"/>
      <c r="DFV18" s="582"/>
      <c r="DFW18" s="582"/>
      <c r="DFX18" s="582"/>
      <c r="DFY18" s="582"/>
      <c r="DFZ18" s="582"/>
      <c r="DGA18" s="582"/>
      <c r="DGB18" s="582"/>
      <c r="DGC18" s="582"/>
      <c r="DGD18" s="582"/>
      <c r="DGE18" s="582"/>
      <c r="DGF18" s="582"/>
      <c r="DGG18" s="582"/>
      <c r="DGH18" s="582"/>
      <c r="DGI18" s="582"/>
      <c r="DGJ18" s="582"/>
      <c r="DGK18" s="582"/>
      <c r="DGL18" s="582"/>
      <c r="DGM18" s="582"/>
      <c r="DGN18" s="582"/>
      <c r="DGO18" s="582"/>
      <c r="DGP18" s="582"/>
      <c r="DGQ18" s="582"/>
      <c r="DGR18" s="582"/>
      <c r="DGS18" s="582"/>
      <c r="DGT18" s="582"/>
      <c r="DGU18" s="582"/>
      <c r="DGV18" s="582"/>
      <c r="DGW18" s="582"/>
      <c r="DGX18" s="582"/>
      <c r="DGY18" s="582"/>
      <c r="DGZ18" s="582"/>
      <c r="DHA18" s="582"/>
      <c r="DHB18" s="582"/>
      <c r="DHC18" s="582"/>
      <c r="DHD18" s="582"/>
      <c r="DHE18" s="582"/>
      <c r="DHF18" s="582"/>
      <c r="DHG18" s="582"/>
      <c r="DHH18" s="582"/>
      <c r="DHI18" s="582"/>
      <c r="DHJ18" s="582"/>
      <c r="DHK18" s="582"/>
      <c r="DHL18" s="582"/>
      <c r="DHM18" s="582"/>
      <c r="DHN18" s="582"/>
      <c r="DHO18" s="582"/>
      <c r="DHP18" s="582"/>
      <c r="DHQ18" s="582"/>
      <c r="DHR18" s="582"/>
      <c r="DHS18" s="582"/>
      <c r="DHT18" s="582"/>
      <c r="DHU18" s="582"/>
      <c r="DHV18" s="582"/>
      <c r="DHW18" s="582"/>
      <c r="DHX18" s="582"/>
      <c r="DHY18" s="582"/>
      <c r="DHZ18" s="582"/>
      <c r="DIA18" s="582"/>
      <c r="DIB18" s="582"/>
      <c r="DIC18" s="582"/>
      <c r="DID18" s="582"/>
      <c r="DIE18" s="582"/>
      <c r="DIF18" s="582"/>
      <c r="DIG18" s="582"/>
      <c r="DIH18" s="582"/>
      <c r="DII18" s="582"/>
      <c r="DIJ18" s="582"/>
      <c r="DIK18" s="582"/>
      <c r="DIL18" s="582"/>
      <c r="DIM18" s="582"/>
      <c r="DIN18" s="582"/>
      <c r="DIO18" s="582"/>
      <c r="DIP18" s="582"/>
      <c r="DIQ18" s="582"/>
      <c r="DIR18" s="582"/>
      <c r="DIS18" s="582"/>
      <c r="DIT18" s="582"/>
      <c r="DIU18" s="582"/>
      <c r="DIV18" s="582"/>
      <c r="DIW18" s="582"/>
      <c r="DIX18" s="582"/>
      <c r="DIY18" s="582"/>
      <c r="DIZ18" s="582"/>
      <c r="DJA18" s="582"/>
      <c r="DJB18" s="582"/>
      <c r="DJC18" s="582"/>
      <c r="DJD18" s="582"/>
      <c r="DJE18" s="582"/>
      <c r="DJF18" s="582"/>
      <c r="DJG18" s="582"/>
      <c r="DJH18" s="582"/>
      <c r="DJI18" s="582"/>
      <c r="DJJ18" s="582"/>
      <c r="DJK18" s="582"/>
      <c r="DJL18" s="582"/>
      <c r="DJM18" s="582"/>
      <c r="DJN18" s="582"/>
      <c r="DJO18" s="582"/>
      <c r="DJP18" s="582"/>
      <c r="DJQ18" s="582"/>
      <c r="DJR18" s="582"/>
      <c r="DJS18" s="582"/>
      <c r="DJT18" s="582"/>
      <c r="DJU18" s="582"/>
      <c r="DJV18" s="582"/>
      <c r="DJW18" s="582"/>
      <c r="DJX18" s="582"/>
      <c r="DJY18" s="582"/>
      <c r="DJZ18" s="582"/>
      <c r="DKA18" s="582"/>
      <c r="DKB18" s="582"/>
      <c r="DKC18" s="582"/>
      <c r="DKD18" s="582"/>
      <c r="DKE18" s="582"/>
      <c r="DKF18" s="582"/>
      <c r="DKG18" s="582"/>
      <c r="DKH18" s="582"/>
      <c r="DKI18" s="582"/>
      <c r="DKJ18" s="582"/>
      <c r="DKK18" s="582"/>
      <c r="DKL18" s="582"/>
      <c r="DKM18" s="582"/>
      <c r="DKN18" s="582"/>
      <c r="DKO18" s="582"/>
      <c r="DKP18" s="582"/>
      <c r="DKQ18" s="582"/>
      <c r="DKR18" s="582"/>
      <c r="DKS18" s="582"/>
      <c r="DKT18" s="582"/>
      <c r="DKU18" s="582"/>
      <c r="DKV18" s="582"/>
      <c r="DKW18" s="582"/>
      <c r="DKX18" s="582"/>
      <c r="DKY18" s="582"/>
      <c r="DKZ18" s="582"/>
      <c r="DLA18" s="582"/>
      <c r="DLB18" s="582"/>
      <c r="DLC18" s="582"/>
      <c r="DLD18" s="582"/>
      <c r="DLE18" s="582"/>
      <c r="DLF18" s="582"/>
      <c r="DLG18" s="582"/>
      <c r="DLH18" s="582"/>
      <c r="DLI18" s="582"/>
      <c r="DLJ18" s="582"/>
      <c r="DLK18" s="582"/>
      <c r="DLL18" s="582"/>
      <c r="DLM18" s="582"/>
      <c r="DLN18" s="582"/>
      <c r="DLO18" s="582"/>
      <c r="DLP18" s="582"/>
      <c r="DLQ18" s="582"/>
      <c r="DLR18" s="582"/>
      <c r="DLS18" s="582"/>
      <c r="DLT18" s="582"/>
      <c r="DLU18" s="582"/>
      <c r="DLV18" s="582"/>
      <c r="DLW18" s="582"/>
      <c r="DLX18" s="582"/>
      <c r="DLY18" s="582"/>
      <c r="DLZ18" s="582"/>
      <c r="DMA18" s="582"/>
      <c r="DMB18" s="582"/>
      <c r="DMC18" s="582"/>
      <c r="DMD18" s="582"/>
      <c r="DME18" s="582"/>
      <c r="DMF18" s="582"/>
      <c r="DMG18" s="582"/>
      <c r="DMH18" s="582"/>
      <c r="DMI18" s="582"/>
      <c r="DMJ18" s="582"/>
      <c r="DMK18" s="582"/>
      <c r="DML18" s="582"/>
      <c r="DMM18" s="582"/>
      <c r="DMN18" s="582"/>
      <c r="DMO18" s="582"/>
      <c r="DMP18" s="582"/>
      <c r="DMQ18" s="582"/>
      <c r="DMR18" s="582"/>
      <c r="DMS18" s="582"/>
      <c r="DMT18" s="582"/>
      <c r="DMU18" s="582"/>
      <c r="DMV18" s="582"/>
      <c r="DMW18" s="582"/>
      <c r="DMX18" s="582"/>
      <c r="DMY18" s="582"/>
      <c r="DMZ18" s="582"/>
      <c r="DNA18" s="582"/>
      <c r="DNB18" s="582"/>
      <c r="DNC18" s="582"/>
      <c r="DND18" s="582"/>
      <c r="DNE18" s="582"/>
      <c r="DNF18" s="582"/>
      <c r="DNG18" s="582"/>
      <c r="DNH18" s="582"/>
      <c r="DNI18" s="582"/>
      <c r="DNJ18" s="582"/>
      <c r="DNK18" s="582"/>
      <c r="DNL18" s="582"/>
      <c r="DNM18" s="582"/>
      <c r="DNN18" s="582"/>
      <c r="DNO18" s="582"/>
      <c r="DNP18" s="582"/>
      <c r="DNQ18" s="582"/>
      <c r="DNR18" s="582"/>
      <c r="DNS18" s="582"/>
      <c r="DNT18" s="582"/>
      <c r="DNU18" s="582"/>
      <c r="DNV18" s="582"/>
      <c r="DNW18" s="582"/>
      <c r="DNX18" s="582"/>
      <c r="DNY18" s="582"/>
      <c r="DNZ18" s="582"/>
      <c r="DOA18" s="582"/>
      <c r="DOB18" s="582"/>
      <c r="DOC18" s="582"/>
      <c r="DOD18" s="582"/>
      <c r="DOE18" s="582"/>
      <c r="DOF18" s="582"/>
      <c r="DOG18" s="582"/>
      <c r="DOH18" s="582"/>
      <c r="DOI18" s="582"/>
      <c r="DOJ18" s="582"/>
      <c r="DOK18" s="582"/>
      <c r="DOL18" s="582"/>
      <c r="DOM18" s="582"/>
      <c r="DON18" s="582"/>
      <c r="DOO18" s="582"/>
      <c r="DOP18" s="582"/>
      <c r="DOQ18" s="582"/>
      <c r="DOR18" s="582"/>
      <c r="DOS18" s="582"/>
      <c r="DOT18" s="582"/>
      <c r="DOU18" s="582"/>
      <c r="DOV18" s="582"/>
      <c r="DOW18" s="582"/>
      <c r="DOX18" s="582"/>
      <c r="DOY18" s="582"/>
      <c r="DOZ18" s="582"/>
      <c r="DPA18" s="582"/>
      <c r="DPB18" s="582"/>
      <c r="DPC18" s="582"/>
      <c r="DPD18" s="582"/>
      <c r="DPE18" s="582"/>
      <c r="DPF18" s="582"/>
      <c r="DPG18" s="582"/>
      <c r="DPH18" s="582"/>
      <c r="DPI18" s="582"/>
      <c r="DPJ18" s="582"/>
      <c r="DPK18" s="582"/>
      <c r="DPL18" s="582"/>
      <c r="DPM18" s="582"/>
      <c r="DPN18" s="582"/>
      <c r="DPO18" s="582"/>
      <c r="DPP18" s="582"/>
      <c r="DPQ18" s="582"/>
      <c r="DPR18" s="582"/>
      <c r="DPS18" s="582"/>
      <c r="DPT18" s="582"/>
      <c r="DPU18" s="582"/>
      <c r="DPV18" s="582"/>
      <c r="DPW18" s="582"/>
      <c r="DPX18" s="582"/>
      <c r="DPY18" s="582"/>
      <c r="DPZ18" s="582"/>
      <c r="DQA18" s="582"/>
      <c r="DQB18" s="582"/>
      <c r="DQC18" s="582"/>
      <c r="DQD18" s="582"/>
      <c r="DQE18" s="582"/>
      <c r="DQF18" s="582"/>
      <c r="DQG18" s="582"/>
      <c r="DQH18" s="582"/>
      <c r="DQI18" s="582"/>
      <c r="DQJ18" s="582"/>
      <c r="DQK18" s="582"/>
      <c r="DQL18" s="582"/>
      <c r="DQM18" s="582"/>
      <c r="DQN18" s="582"/>
      <c r="DQO18" s="582"/>
      <c r="DQP18" s="582"/>
      <c r="DQQ18" s="582"/>
      <c r="DQR18" s="582"/>
      <c r="DQS18" s="582"/>
      <c r="DQT18" s="582"/>
      <c r="DQU18" s="582"/>
      <c r="DQV18" s="582"/>
      <c r="DQW18" s="582"/>
      <c r="DQX18" s="582"/>
      <c r="DQY18" s="582"/>
      <c r="DQZ18" s="582"/>
      <c r="DRA18" s="582"/>
      <c r="DRB18" s="582"/>
      <c r="DRC18" s="582"/>
      <c r="DRD18" s="582"/>
      <c r="DRE18" s="582"/>
      <c r="DRF18" s="582"/>
      <c r="DRG18" s="582"/>
      <c r="DRH18" s="582"/>
      <c r="DRI18" s="582"/>
      <c r="DRJ18" s="582"/>
      <c r="DRK18" s="582"/>
      <c r="DRL18" s="582"/>
      <c r="DRM18" s="582"/>
      <c r="DRN18" s="582"/>
      <c r="DRO18" s="582"/>
      <c r="DRP18" s="582"/>
      <c r="DRQ18" s="582"/>
      <c r="DRR18" s="582"/>
      <c r="DRS18" s="582"/>
      <c r="DRT18" s="582"/>
      <c r="DRU18" s="582"/>
      <c r="DRV18" s="582"/>
      <c r="DRW18" s="582"/>
      <c r="DRX18" s="582"/>
      <c r="DRY18" s="582"/>
      <c r="DRZ18" s="582"/>
      <c r="DSA18" s="582"/>
      <c r="DSB18" s="582"/>
      <c r="DSC18" s="582"/>
      <c r="DSD18" s="582"/>
      <c r="DSE18" s="582"/>
      <c r="DSF18" s="582"/>
      <c r="DSG18" s="582"/>
      <c r="DSH18" s="582"/>
      <c r="DSI18" s="582"/>
      <c r="DSJ18" s="582"/>
      <c r="DSK18" s="582"/>
      <c r="DSL18" s="582"/>
      <c r="DSM18" s="582"/>
      <c r="DSN18" s="582"/>
      <c r="DSO18" s="582"/>
      <c r="DSP18" s="582"/>
      <c r="DSQ18" s="582"/>
      <c r="DSR18" s="582"/>
      <c r="DSS18" s="582"/>
      <c r="DST18" s="582"/>
      <c r="DSU18" s="582"/>
      <c r="DSV18" s="582"/>
      <c r="DSW18" s="582"/>
      <c r="DSX18" s="582"/>
      <c r="DSY18" s="582"/>
      <c r="DSZ18" s="582"/>
      <c r="DTA18" s="582"/>
      <c r="DTB18" s="582"/>
      <c r="DTC18" s="582"/>
      <c r="DTD18" s="582"/>
      <c r="DTE18" s="582"/>
      <c r="DTF18" s="582"/>
      <c r="DTG18" s="582"/>
      <c r="DTH18" s="582"/>
      <c r="DTI18" s="582"/>
      <c r="DTJ18" s="582"/>
      <c r="DTK18" s="582"/>
      <c r="DTL18" s="582"/>
      <c r="DTM18" s="582"/>
      <c r="DTN18" s="582"/>
      <c r="DTO18" s="582"/>
      <c r="DTP18" s="582"/>
      <c r="DTQ18" s="582"/>
      <c r="DTR18" s="582"/>
      <c r="DTS18" s="582"/>
      <c r="DTT18" s="582"/>
      <c r="DTU18" s="582"/>
      <c r="DTV18" s="582"/>
      <c r="DTW18" s="582"/>
      <c r="DTX18" s="582"/>
      <c r="DTY18" s="582"/>
      <c r="DTZ18" s="582"/>
      <c r="DUA18" s="582"/>
      <c r="DUB18" s="582"/>
      <c r="DUC18" s="582"/>
      <c r="DUD18" s="582"/>
      <c r="DUE18" s="582"/>
      <c r="DUF18" s="582"/>
      <c r="DUG18" s="582"/>
      <c r="DUH18" s="582"/>
      <c r="DUI18" s="582"/>
      <c r="DUJ18" s="582"/>
      <c r="DUK18" s="582"/>
      <c r="DUL18" s="582"/>
      <c r="DUM18" s="582"/>
      <c r="DUN18" s="582"/>
      <c r="DUO18" s="582"/>
      <c r="DUP18" s="582"/>
      <c r="DUQ18" s="582"/>
      <c r="DUR18" s="582"/>
      <c r="DUS18" s="582"/>
      <c r="DUT18" s="582"/>
      <c r="DUU18" s="582"/>
      <c r="DUV18" s="582"/>
      <c r="DUW18" s="582"/>
      <c r="DUX18" s="582"/>
      <c r="DUY18" s="582"/>
      <c r="DUZ18" s="582"/>
      <c r="DVA18" s="582"/>
      <c r="DVB18" s="582"/>
      <c r="DVC18" s="582"/>
      <c r="DVD18" s="582"/>
      <c r="DVE18" s="582"/>
      <c r="DVF18" s="582"/>
      <c r="DVG18" s="582"/>
      <c r="DVH18" s="582"/>
      <c r="DVI18" s="582"/>
      <c r="DVJ18" s="582"/>
      <c r="DVK18" s="582"/>
      <c r="DVL18" s="582"/>
      <c r="DVM18" s="582"/>
      <c r="DVN18" s="582"/>
      <c r="DVO18" s="582"/>
      <c r="DVP18" s="582"/>
      <c r="DVQ18" s="582"/>
      <c r="DVR18" s="582"/>
      <c r="DVS18" s="582"/>
      <c r="DVT18" s="582"/>
      <c r="DVU18" s="582"/>
      <c r="DVV18" s="582"/>
      <c r="DVW18" s="582"/>
      <c r="DVX18" s="582"/>
      <c r="DVY18" s="582"/>
      <c r="DVZ18" s="582"/>
      <c r="DWA18" s="582"/>
      <c r="DWB18" s="582"/>
      <c r="DWC18" s="582"/>
      <c r="DWD18" s="582"/>
      <c r="DWE18" s="582"/>
      <c r="DWF18" s="582"/>
      <c r="DWG18" s="582"/>
      <c r="DWH18" s="582"/>
      <c r="DWI18" s="582"/>
      <c r="DWJ18" s="582"/>
      <c r="DWK18" s="582"/>
      <c r="DWL18" s="582"/>
      <c r="DWM18" s="582"/>
      <c r="DWN18" s="582"/>
      <c r="DWO18" s="582"/>
      <c r="DWP18" s="582"/>
      <c r="DWQ18" s="582"/>
      <c r="DWR18" s="582"/>
      <c r="DWS18" s="582"/>
      <c r="DWT18" s="582"/>
      <c r="DWU18" s="582"/>
      <c r="DWV18" s="582"/>
      <c r="DWW18" s="582"/>
      <c r="DWX18" s="582"/>
      <c r="DWY18" s="582"/>
      <c r="DWZ18" s="582"/>
      <c r="DXA18" s="582"/>
      <c r="DXB18" s="582"/>
      <c r="DXC18" s="582"/>
      <c r="DXD18" s="582"/>
      <c r="DXE18" s="582"/>
      <c r="DXF18" s="582"/>
      <c r="DXG18" s="582"/>
      <c r="DXH18" s="582"/>
      <c r="DXI18" s="582"/>
      <c r="DXJ18" s="582"/>
      <c r="DXK18" s="582"/>
      <c r="DXL18" s="582"/>
      <c r="DXM18" s="582"/>
      <c r="DXN18" s="582"/>
      <c r="DXO18" s="582"/>
      <c r="DXP18" s="582"/>
      <c r="DXQ18" s="582"/>
      <c r="DXR18" s="582"/>
      <c r="DXS18" s="582"/>
      <c r="DXT18" s="582"/>
      <c r="DXU18" s="582"/>
      <c r="DXV18" s="582"/>
      <c r="DXW18" s="582"/>
      <c r="DXX18" s="582"/>
      <c r="DXY18" s="582"/>
      <c r="DXZ18" s="582"/>
      <c r="DYA18" s="582"/>
      <c r="DYB18" s="582"/>
      <c r="DYC18" s="582"/>
      <c r="DYD18" s="582"/>
      <c r="DYE18" s="582"/>
      <c r="DYF18" s="582"/>
      <c r="DYG18" s="582"/>
      <c r="DYH18" s="582"/>
      <c r="DYI18" s="582"/>
      <c r="DYJ18" s="582"/>
      <c r="DYK18" s="582"/>
      <c r="DYL18" s="582"/>
      <c r="DYM18" s="582"/>
      <c r="DYN18" s="582"/>
      <c r="DYO18" s="582"/>
      <c r="DYP18" s="582"/>
      <c r="DYQ18" s="582"/>
      <c r="DYR18" s="582"/>
      <c r="DYS18" s="582"/>
      <c r="DYT18" s="582"/>
      <c r="DYU18" s="582"/>
      <c r="DYV18" s="582"/>
      <c r="DYW18" s="582"/>
      <c r="DYX18" s="582"/>
      <c r="DYY18" s="582"/>
      <c r="DYZ18" s="582"/>
      <c r="DZA18" s="582"/>
      <c r="DZB18" s="582"/>
      <c r="DZC18" s="582"/>
      <c r="DZD18" s="582"/>
      <c r="DZE18" s="582"/>
      <c r="DZF18" s="582"/>
      <c r="DZG18" s="582"/>
      <c r="DZH18" s="582"/>
      <c r="DZI18" s="582"/>
      <c r="DZJ18" s="582"/>
      <c r="DZK18" s="582"/>
      <c r="DZL18" s="582"/>
      <c r="DZM18" s="582"/>
      <c r="DZN18" s="582"/>
      <c r="DZO18" s="582"/>
      <c r="DZP18" s="582"/>
      <c r="DZQ18" s="582"/>
      <c r="DZR18" s="582"/>
      <c r="DZS18" s="582"/>
      <c r="DZT18" s="582"/>
      <c r="DZU18" s="582"/>
      <c r="DZV18" s="582"/>
      <c r="DZW18" s="582"/>
      <c r="DZX18" s="582"/>
      <c r="DZY18" s="582"/>
      <c r="DZZ18" s="582"/>
      <c r="EAA18" s="582"/>
      <c r="EAB18" s="582"/>
      <c r="EAC18" s="582"/>
      <c r="EAD18" s="582"/>
      <c r="EAE18" s="582"/>
      <c r="EAF18" s="582"/>
      <c r="EAG18" s="582"/>
      <c r="EAH18" s="582"/>
      <c r="EAI18" s="582"/>
      <c r="EAJ18" s="582"/>
      <c r="EAK18" s="582"/>
      <c r="EAL18" s="582"/>
      <c r="EAM18" s="582"/>
      <c r="EAN18" s="582"/>
      <c r="EAO18" s="582"/>
      <c r="EAP18" s="582"/>
      <c r="EAQ18" s="582"/>
      <c r="EAR18" s="582"/>
      <c r="EAS18" s="582"/>
      <c r="EAT18" s="582"/>
      <c r="EAU18" s="582"/>
      <c r="EAV18" s="582"/>
      <c r="EAW18" s="582"/>
      <c r="EAX18" s="582"/>
      <c r="EAY18" s="582"/>
      <c r="EAZ18" s="582"/>
      <c r="EBA18" s="582"/>
      <c r="EBB18" s="582"/>
      <c r="EBC18" s="582"/>
      <c r="EBD18" s="582"/>
      <c r="EBE18" s="582"/>
      <c r="EBF18" s="582"/>
      <c r="EBG18" s="582"/>
      <c r="EBH18" s="582"/>
      <c r="EBI18" s="582"/>
      <c r="EBJ18" s="582"/>
      <c r="EBK18" s="582"/>
      <c r="EBL18" s="582"/>
      <c r="EBM18" s="582"/>
      <c r="EBN18" s="582"/>
      <c r="EBO18" s="582"/>
      <c r="EBP18" s="582"/>
      <c r="EBQ18" s="582"/>
      <c r="EBR18" s="582"/>
      <c r="EBS18" s="582"/>
      <c r="EBT18" s="582"/>
      <c r="EBU18" s="582"/>
      <c r="EBV18" s="582"/>
      <c r="EBW18" s="582"/>
      <c r="EBX18" s="582"/>
      <c r="EBY18" s="582"/>
      <c r="EBZ18" s="582"/>
      <c r="ECA18" s="582"/>
      <c r="ECB18" s="582"/>
      <c r="ECC18" s="582"/>
      <c r="ECD18" s="582"/>
      <c r="ECE18" s="582"/>
      <c r="ECF18" s="582"/>
      <c r="ECG18" s="582"/>
      <c r="ECH18" s="582"/>
      <c r="ECI18" s="582"/>
      <c r="ECJ18" s="582"/>
      <c r="ECK18" s="582"/>
      <c r="ECL18" s="582"/>
      <c r="ECM18" s="582"/>
      <c r="ECN18" s="582"/>
      <c r="ECO18" s="582"/>
      <c r="ECP18" s="582"/>
      <c r="ECQ18" s="582"/>
      <c r="ECR18" s="582"/>
      <c r="ECS18" s="582"/>
      <c r="ECT18" s="582"/>
      <c r="ECU18" s="582"/>
      <c r="ECV18" s="582"/>
      <c r="ECW18" s="582"/>
      <c r="ECX18" s="582"/>
      <c r="ECY18" s="582"/>
      <c r="ECZ18" s="582"/>
      <c r="EDA18" s="582"/>
      <c r="EDB18" s="582"/>
      <c r="EDC18" s="582"/>
      <c r="EDD18" s="582"/>
      <c r="EDE18" s="582"/>
      <c r="EDF18" s="582"/>
      <c r="EDG18" s="582"/>
      <c r="EDH18" s="582"/>
      <c r="EDI18" s="582"/>
      <c r="EDJ18" s="582"/>
      <c r="EDK18" s="582"/>
      <c r="EDL18" s="582"/>
      <c r="EDM18" s="582"/>
      <c r="EDN18" s="582"/>
      <c r="EDO18" s="582"/>
      <c r="EDP18" s="582"/>
      <c r="EDQ18" s="582"/>
      <c r="EDR18" s="582"/>
      <c r="EDS18" s="582"/>
      <c r="EDT18" s="582"/>
      <c r="EDU18" s="582"/>
      <c r="EDV18" s="582"/>
      <c r="EDW18" s="582"/>
      <c r="EDX18" s="582"/>
      <c r="EDY18" s="582"/>
      <c r="EDZ18" s="582"/>
      <c r="EEA18" s="582"/>
      <c r="EEB18" s="582"/>
      <c r="EEC18" s="582"/>
      <c r="EED18" s="582"/>
      <c r="EEE18" s="582"/>
      <c r="EEF18" s="582"/>
      <c r="EEG18" s="582"/>
      <c r="EEH18" s="582"/>
      <c r="EEI18" s="582"/>
      <c r="EEJ18" s="582"/>
      <c r="EEK18" s="582"/>
      <c r="EEL18" s="582"/>
      <c r="EEM18" s="582"/>
      <c r="EEN18" s="582"/>
      <c r="EEO18" s="582"/>
      <c r="EEP18" s="582"/>
      <c r="EEQ18" s="582"/>
      <c r="EER18" s="582"/>
      <c r="EES18" s="582"/>
      <c r="EET18" s="582"/>
      <c r="EEU18" s="582"/>
      <c r="EEV18" s="582"/>
      <c r="EEW18" s="582"/>
      <c r="EEX18" s="582"/>
      <c r="EEY18" s="582"/>
      <c r="EEZ18" s="582"/>
      <c r="EFA18" s="582"/>
      <c r="EFB18" s="582"/>
      <c r="EFC18" s="582"/>
      <c r="EFD18" s="582"/>
      <c r="EFE18" s="582"/>
      <c r="EFF18" s="582"/>
      <c r="EFG18" s="582"/>
      <c r="EFH18" s="582"/>
      <c r="EFI18" s="582"/>
      <c r="EFJ18" s="582"/>
      <c r="EFK18" s="582"/>
      <c r="EFL18" s="582"/>
      <c r="EFM18" s="582"/>
      <c r="EFN18" s="582"/>
      <c r="EFO18" s="582"/>
      <c r="EFP18" s="582"/>
      <c r="EFQ18" s="582"/>
      <c r="EFR18" s="582"/>
      <c r="EFS18" s="582"/>
      <c r="EFT18" s="582"/>
      <c r="EFU18" s="582"/>
      <c r="EFV18" s="582"/>
      <c r="EFW18" s="582"/>
      <c r="EFX18" s="582"/>
      <c r="EFY18" s="582"/>
      <c r="EFZ18" s="582"/>
      <c r="EGA18" s="582"/>
      <c r="EGB18" s="582"/>
      <c r="EGC18" s="582"/>
      <c r="EGD18" s="582"/>
      <c r="EGE18" s="582"/>
      <c r="EGF18" s="582"/>
      <c r="EGG18" s="582"/>
      <c r="EGH18" s="582"/>
      <c r="EGI18" s="582"/>
      <c r="EGJ18" s="582"/>
      <c r="EGK18" s="582"/>
      <c r="EGL18" s="582"/>
      <c r="EGM18" s="582"/>
      <c r="EGN18" s="582"/>
      <c r="EGO18" s="582"/>
      <c r="EGP18" s="582"/>
      <c r="EGQ18" s="582"/>
      <c r="EGR18" s="582"/>
      <c r="EGS18" s="582"/>
      <c r="EGT18" s="582"/>
      <c r="EGU18" s="582"/>
      <c r="EGV18" s="582"/>
      <c r="EGW18" s="582"/>
      <c r="EGX18" s="582"/>
      <c r="EGY18" s="582"/>
      <c r="EGZ18" s="582"/>
      <c r="EHA18" s="582"/>
      <c r="EHB18" s="582"/>
      <c r="EHC18" s="582"/>
      <c r="EHD18" s="582"/>
      <c r="EHE18" s="582"/>
      <c r="EHF18" s="582"/>
      <c r="EHG18" s="582"/>
      <c r="EHH18" s="582"/>
      <c r="EHI18" s="582"/>
      <c r="EHJ18" s="582"/>
      <c r="EHK18" s="582"/>
      <c r="EHL18" s="582"/>
      <c r="EHM18" s="582"/>
      <c r="EHN18" s="582"/>
      <c r="EHO18" s="582"/>
      <c r="EHP18" s="582"/>
      <c r="EHQ18" s="582"/>
      <c r="EHR18" s="582"/>
      <c r="EHS18" s="582"/>
      <c r="EHT18" s="582"/>
      <c r="EHU18" s="582"/>
      <c r="EHV18" s="582"/>
      <c r="EHW18" s="582"/>
      <c r="EHX18" s="582"/>
      <c r="EHY18" s="582"/>
      <c r="EHZ18" s="582"/>
      <c r="EIA18" s="582"/>
      <c r="EIB18" s="582"/>
      <c r="EIC18" s="582"/>
      <c r="EID18" s="582"/>
      <c r="EIE18" s="582"/>
      <c r="EIF18" s="582"/>
      <c r="EIG18" s="582"/>
      <c r="EIH18" s="582"/>
      <c r="EII18" s="582"/>
      <c r="EIJ18" s="582"/>
      <c r="EIK18" s="582"/>
      <c r="EIL18" s="582"/>
      <c r="EIM18" s="582"/>
      <c r="EIN18" s="582"/>
      <c r="EIO18" s="582"/>
      <c r="EIP18" s="582"/>
      <c r="EIQ18" s="582"/>
      <c r="EIR18" s="582"/>
      <c r="EIS18" s="582"/>
      <c r="EIT18" s="582"/>
      <c r="EIU18" s="582"/>
      <c r="EIV18" s="582"/>
      <c r="EIW18" s="582"/>
      <c r="EIX18" s="582"/>
      <c r="EIY18" s="582"/>
      <c r="EIZ18" s="582"/>
      <c r="EJA18" s="582"/>
      <c r="EJB18" s="582"/>
      <c r="EJC18" s="582"/>
      <c r="EJD18" s="582"/>
      <c r="EJE18" s="582"/>
      <c r="EJF18" s="582"/>
      <c r="EJG18" s="582"/>
      <c r="EJH18" s="582"/>
      <c r="EJI18" s="582"/>
      <c r="EJJ18" s="582"/>
      <c r="EJK18" s="582"/>
      <c r="EJL18" s="582"/>
      <c r="EJM18" s="582"/>
      <c r="EJN18" s="582"/>
      <c r="EJO18" s="582"/>
      <c r="EJP18" s="582"/>
      <c r="EJQ18" s="582"/>
      <c r="EJR18" s="582"/>
      <c r="EJS18" s="582"/>
      <c r="EJT18" s="582"/>
      <c r="EJU18" s="582"/>
      <c r="EJV18" s="582"/>
      <c r="EJW18" s="582"/>
      <c r="EJX18" s="582"/>
      <c r="EJY18" s="582"/>
      <c r="EJZ18" s="582"/>
      <c r="EKA18" s="582"/>
      <c r="EKB18" s="582"/>
      <c r="EKC18" s="582"/>
      <c r="EKD18" s="582"/>
      <c r="EKE18" s="582"/>
      <c r="EKF18" s="582"/>
      <c r="EKG18" s="582"/>
      <c r="EKH18" s="582"/>
      <c r="EKI18" s="582"/>
      <c r="EKJ18" s="582"/>
      <c r="EKK18" s="582"/>
      <c r="EKL18" s="582"/>
      <c r="EKM18" s="582"/>
      <c r="EKN18" s="582"/>
      <c r="EKO18" s="582"/>
      <c r="EKP18" s="582"/>
      <c r="EKQ18" s="582"/>
      <c r="EKR18" s="582"/>
      <c r="EKS18" s="582"/>
      <c r="EKT18" s="582"/>
      <c r="EKU18" s="582"/>
      <c r="EKV18" s="582"/>
      <c r="EKW18" s="582"/>
      <c r="EKX18" s="582"/>
      <c r="EKY18" s="582"/>
      <c r="EKZ18" s="582"/>
      <c r="ELA18" s="582"/>
      <c r="ELB18" s="582"/>
      <c r="ELC18" s="582"/>
      <c r="ELD18" s="582"/>
      <c r="ELE18" s="582"/>
      <c r="ELF18" s="582"/>
      <c r="ELG18" s="582"/>
      <c r="ELH18" s="582"/>
      <c r="ELI18" s="582"/>
      <c r="ELJ18" s="582"/>
      <c r="ELK18" s="582"/>
      <c r="ELL18" s="582"/>
      <c r="ELM18" s="582"/>
      <c r="ELN18" s="582"/>
      <c r="ELO18" s="582"/>
      <c r="ELP18" s="582"/>
      <c r="ELQ18" s="582"/>
      <c r="ELR18" s="582"/>
      <c r="ELS18" s="582"/>
      <c r="ELT18" s="582"/>
      <c r="ELU18" s="582"/>
      <c r="ELV18" s="582"/>
      <c r="ELW18" s="582"/>
      <c r="ELX18" s="582"/>
      <c r="ELY18" s="582"/>
      <c r="ELZ18" s="582"/>
      <c r="EMA18" s="582"/>
      <c r="EMB18" s="582"/>
      <c r="EMC18" s="582"/>
      <c r="EMD18" s="582"/>
      <c r="EME18" s="582"/>
      <c r="EMF18" s="582"/>
      <c r="EMG18" s="582"/>
      <c r="EMH18" s="582"/>
      <c r="EMI18" s="582"/>
      <c r="EMJ18" s="582"/>
      <c r="EMK18" s="582"/>
      <c r="EML18" s="582"/>
      <c r="EMM18" s="582"/>
      <c r="EMN18" s="582"/>
      <c r="EMO18" s="582"/>
      <c r="EMP18" s="582"/>
      <c r="EMQ18" s="582"/>
      <c r="EMR18" s="582"/>
      <c r="EMS18" s="582"/>
      <c r="EMT18" s="582"/>
      <c r="EMU18" s="582"/>
      <c r="EMV18" s="582"/>
      <c r="EMW18" s="582"/>
      <c r="EMX18" s="582"/>
      <c r="EMY18" s="582"/>
      <c r="EMZ18" s="582"/>
      <c r="ENA18" s="582"/>
      <c r="ENB18" s="582"/>
      <c r="ENC18" s="582"/>
      <c r="END18" s="582"/>
      <c r="ENE18" s="582"/>
      <c r="ENF18" s="582"/>
      <c r="ENG18" s="582"/>
      <c r="ENH18" s="582"/>
      <c r="ENI18" s="582"/>
      <c r="ENJ18" s="582"/>
      <c r="ENK18" s="582"/>
      <c r="ENL18" s="582"/>
      <c r="ENM18" s="582"/>
      <c r="ENN18" s="582"/>
      <c r="ENO18" s="582"/>
      <c r="ENP18" s="582"/>
      <c r="ENQ18" s="582"/>
      <c r="ENR18" s="582"/>
      <c r="ENS18" s="582"/>
      <c r="ENT18" s="582"/>
      <c r="ENU18" s="582"/>
      <c r="ENV18" s="582"/>
      <c r="ENW18" s="582"/>
      <c r="ENX18" s="582"/>
      <c r="ENY18" s="582"/>
      <c r="ENZ18" s="582"/>
      <c r="EOA18" s="582"/>
      <c r="EOB18" s="582"/>
      <c r="EOC18" s="582"/>
      <c r="EOD18" s="582"/>
      <c r="EOE18" s="582"/>
      <c r="EOF18" s="582"/>
      <c r="EOG18" s="582"/>
      <c r="EOH18" s="582"/>
      <c r="EOI18" s="582"/>
      <c r="EOJ18" s="582"/>
      <c r="EOK18" s="582"/>
      <c r="EOL18" s="582"/>
      <c r="EOM18" s="582"/>
      <c r="EON18" s="582"/>
      <c r="EOO18" s="582"/>
      <c r="EOP18" s="582"/>
      <c r="EOQ18" s="582"/>
      <c r="EOR18" s="582"/>
      <c r="EOS18" s="582"/>
      <c r="EOT18" s="582"/>
      <c r="EOU18" s="582"/>
      <c r="EOV18" s="582"/>
      <c r="EOW18" s="582"/>
      <c r="EOX18" s="582"/>
      <c r="EOY18" s="582"/>
      <c r="EOZ18" s="582"/>
      <c r="EPA18" s="582"/>
      <c r="EPB18" s="582"/>
      <c r="EPC18" s="582"/>
      <c r="EPD18" s="582"/>
      <c r="EPE18" s="582"/>
      <c r="EPF18" s="582"/>
      <c r="EPG18" s="582"/>
      <c r="EPH18" s="582"/>
      <c r="EPI18" s="582"/>
      <c r="EPJ18" s="582"/>
      <c r="EPK18" s="582"/>
      <c r="EPL18" s="582"/>
      <c r="EPM18" s="582"/>
      <c r="EPN18" s="582"/>
      <c r="EPO18" s="582"/>
      <c r="EPP18" s="582"/>
      <c r="EPQ18" s="582"/>
      <c r="EPR18" s="582"/>
      <c r="EPS18" s="582"/>
      <c r="EPT18" s="582"/>
      <c r="EPU18" s="582"/>
      <c r="EPV18" s="582"/>
      <c r="EPW18" s="582"/>
      <c r="EPX18" s="582"/>
      <c r="EPY18" s="582"/>
      <c r="EPZ18" s="582"/>
      <c r="EQA18" s="582"/>
      <c r="EQB18" s="582"/>
      <c r="EQC18" s="582"/>
      <c r="EQD18" s="582"/>
      <c r="EQE18" s="582"/>
      <c r="EQF18" s="582"/>
      <c r="EQG18" s="582"/>
      <c r="EQH18" s="582"/>
      <c r="EQI18" s="582"/>
      <c r="EQJ18" s="582"/>
      <c r="EQK18" s="582"/>
      <c r="EQL18" s="582"/>
      <c r="EQM18" s="582"/>
      <c r="EQN18" s="582"/>
      <c r="EQO18" s="582"/>
      <c r="EQP18" s="582"/>
      <c r="EQQ18" s="582"/>
      <c r="EQR18" s="582"/>
      <c r="EQS18" s="582"/>
      <c r="EQT18" s="582"/>
      <c r="EQU18" s="582"/>
      <c r="EQV18" s="582"/>
      <c r="EQW18" s="582"/>
      <c r="EQX18" s="582"/>
      <c r="EQY18" s="582"/>
      <c r="EQZ18" s="582"/>
      <c r="ERA18" s="582"/>
      <c r="ERB18" s="582"/>
      <c r="ERC18" s="582"/>
      <c r="ERD18" s="582"/>
      <c r="ERE18" s="582"/>
      <c r="ERF18" s="582"/>
      <c r="ERG18" s="582"/>
      <c r="ERH18" s="582"/>
      <c r="ERI18" s="582"/>
      <c r="ERJ18" s="582"/>
      <c r="ERK18" s="582"/>
      <c r="ERL18" s="582"/>
      <c r="ERM18" s="582"/>
      <c r="ERN18" s="582"/>
      <c r="ERO18" s="582"/>
      <c r="ERP18" s="582"/>
      <c r="ERQ18" s="582"/>
      <c r="ERR18" s="582"/>
      <c r="ERS18" s="582"/>
      <c r="ERT18" s="582"/>
      <c r="ERU18" s="582"/>
      <c r="ERV18" s="582"/>
      <c r="ERW18" s="582"/>
      <c r="ERX18" s="582"/>
      <c r="ERY18" s="582"/>
      <c r="ERZ18" s="582"/>
      <c r="ESA18" s="582"/>
      <c r="ESB18" s="582"/>
      <c r="ESC18" s="582"/>
      <c r="ESD18" s="582"/>
      <c r="ESE18" s="582"/>
      <c r="ESF18" s="582"/>
      <c r="ESG18" s="582"/>
      <c r="ESH18" s="582"/>
      <c r="ESI18" s="582"/>
      <c r="ESJ18" s="582"/>
      <c r="ESK18" s="582"/>
      <c r="ESL18" s="582"/>
      <c r="ESM18" s="582"/>
      <c r="ESN18" s="582"/>
      <c r="ESO18" s="582"/>
      <c r="ESP18" s="582"/>
      <c r="ESQ18" s="582"/>
      <c r="ESR18" s="582"/>
      <c r="ESS18" s="582"/>
      <c r="EST18" s="582"/>
      <c r="ESU18" s="582"/>
      <c r="ESV18" s="582"/>
      <c r="ESW18" s="582"/>
      <c r="ESX18" s="582"/>
      <c r="ESY18" s="582"/>
      <c r="ESZ18" s="582"/>
      <c r="ETA18" s="582"/>
      <c r="ETB18" s="582"/>
      <c r="ETC18" s="582"/>
      <c r="ETD18" s="582"/>
      <c r="ETE18" s="582"/>
      <c r="ETF18" s="582"/>
      <c r="ETG18" s="582"/>
      <c r="ETH18" s="582"/>
      <c r="ETI18" s="582"/>
      <c r="ETJ18" s="582"/>
      <c r="ETK18" s="582"/>
      <c r="ETL18" s="582"/>
      <c r="ETM18" s="582"/>
      <c r="ETN18" s="582"/>
      <c r="ETO18" s="582"/>
      <c r="ETP18" s="582"/>
      <c r="ETQ18" s="582"/>
      <c r="ETR18" s="582"/>
      <c r="ETS18" s="582"/>
      <c r="ETT18" s="582"/>
      <c r="ETU18" s="582"/>
      <c r="ETV18" s="582"/>
      <c r="ETW18" s="582"/>
      <c r="ETX18" s="582"/>
      <c r="ETY18" s="582"/>
      <c r="ETZ18" s="582"/>
      <c r="EUA18" s="582"/>
      <c r="EUB18" s="582"/>
      <c r="EUC18" s="582"/>
      <c r="EUD18" s="582"/>
      <c r="EUE18" s="582"/>
      <c r="EUF18" s="582"/>
      <c r="EUG18" s="582"/>
      <c r="EUH18" s="582"/>
      <c r="EUI18" s="582"/>
      <c r="EUJ18" s="582"/>
      <c r="EUK18" s="582"/>
      <c r="EUL18" s="582"/>
      <c r="EUM18" s="582"/>
      <c r="EUN18" s="582"/>
      <c r="EUO18" s="582"/>
      <c r="EUP18" s="582"/>
      <c r="EUQ18" s="582"/>
      <c r="EUR18" s="582"/>
      <c r="EUS18" s="582"/>
      <c r="EUT18" s="582"/>
      <c r="EUU18" s="582"/>
      <c r="EUV18" s="582"/>
      <c r="EUW18" s="582"/>
      <c r="EUX18" s="582"/>
      <c r="EUY18" s="582"/>
      <c r="EUZ18" s="582"/>
      <c r="EVA18" s="582"/>
      <c r="EVB18" s="582"/>
      <c r="EVC18" s="582"/>
      <c r="EVD18" s="582"/>
      <c r="EVE18" s="582"/>
      <c r="EVF18" s="582"/>
      <c r="EVG18" s="582"/>
      <c r="EVH18" s="582"/>
      <c r="EVI18" s="582"/>
      <c r="EVJ18" s="582"/>
      <c r="EVK18" s="582"/>
      <c r="EVL18" s="582"/>
      <c r="EVM18" s="582"/>
      <c r="EVN18" s="582"/>
      <c r="EVO18" s="582"/>
      <c r="EVP18" s="582"/>
      <c r="EVQ18" s="582"/>
      <c r="EVR18" s="582"/>
      <c r="EVS18" s="582"/>
      <c r="EVT18" s="582"/>
      <c r="EVU18" s="582"/>
      <c r="EVV18" s="582"/>
      <c r="EVW18" s="582"/>
      <c r="EVX18" s="582"/>
      <c r="EVY18" s="582"/>
      <c r="EVZ18" s="582"/>
      <c r="EWA18" s="582"/>
      <c r="EWB18" s="582"/>
      <c r="EWC18" s="582"/>
      <c r="EWD18" s="582"/>
      <c r="EWE18" s="582"/>
      <c r="EWF18" s="582"/>
      <c r="EWG18" s="582"/>
      <c r="EWH18" s="582"/>
      <c r="EWI18" s="582"/>
      <c r="EWJ18" s="582"/>
      <c r="EWK18" s="582"/>
      <c r="EWL18" s="582"/>
      <c r="EWM18" s="582"/>
      <c r="EWN18" s="582"/>
      <c r="EWO18" s="582"/>
      <c r="EWP18" s="582"/>
      <c r="EWQ18" s="582"/>
      <c r="EWR18" s="582"/>
      <c r="EWS18" s="582"/>
      <c r="EWT18" s="582"/>
      <c r="EWU18" s="582"/>
      <c r="EWV18" s="582"/>
      <c r="EWW18" s="582"/>
      <c r="EWX18" s="582"/>
      <c r="EWY18" s="582"/>
      <c r="EWZ18" s="582"/>
      <c r="EXA18" s="582"/>
      <c r="EXB18" s="582"/>
      <c r="EXC18" s="582"/>
      <c r="EXD18" s="582"/>
      <c r="EXE18" s="582"/>
      <c r="EXF18" s="582"/>
      <c r="EXG18" s="582"/>
      <c r="EXH18" s="582"/>
      <c r="EXI18" s="582"/>
      <c r="EXJ18" s="582"/>
      <c r="EXK18" s="582"/>
      <c r="EXL18" s="582"/>
      <c r="EXM18" s="582"/>
      <c r="EXN18" s="582"/>
      <c r="EXO18" s="582"/>
      <c r="EXP18" s="582"/>
      <c r="EXQ18" s="582"/>
      <c r="EXR18" s="582"/>
      <c r="EXS18" s="582"/>
      <c r="EXT18" s="582"/>
      <c r="EXU18" s="582"/>
      <c r="EXV18" s="582"/>
      <c r="EXW18" s="582"/>
      <c r="EXX18" s="582"/>
      <c r="EXY18" s="582"/>
      <c r="EXZ18" s="582"/>
      <c r="EYA18" s="582"/>
      <c r="EYB18" s="582"/>
      <c r="EYC18" s="582"/>
      <c r="EYD18" s="582"/>
      <c r="EYE18" s="582"/>
      <c r="EYF18" s="582"/>
      <c r="EYG18" s="582"/>
      <c r="EYH18" s="582"/>
      <c r="EYI18" s="582"/>
      <c r="EYJ18" s="582"/>
      <c r="EYK18" s="582"/>
      <c r="EYL18" s="582"/>
      <c r="EYM18" s="582"/>
      <c r="EYN18" s="582"/>
      <c r="EYO18" s="582"/>
      <c r="EYP18" s="582"/>
      <c r="EYQ18" s="582"/>
      <c r="EYR18" s="582"/>
      <c r="EYS18" s="582"/>
      <c r="EYT18" s="582"/>
      <c r="EYU18" s="582"/>
      <c r="EYV18" s="582"/>
      <c r="EYW18" s="582"/>
      <c r="EYX18" s="582"/>
      <c r="EYY18" s="582"/>
      <c r="EYZ18" s="582"/>
      <c r="EZA18" s="582"/>
      <c r="EZB18" s="582"/>
      <c r="EZC18" s="582"/>
      <c r="EZD18" s="582"/>
      <c r="EZE18" s="582"/>
      <c r="EZF18" s="582"/>
      <c r="EZG18" s="582"/>
      <c r="EZH18" s="582"/>
      <c r="EZI18" s="582"/>
      <c r="EZJ18" s="582"/>
      <c r="EZK18" s="582"/>
      <c r="EZL18" s="582"/>
      <c r="EZM18" s="582"/>
      <c r="EZN18" s="582"/>
      <c r="EZO18" s="582"/>
      <c r="EZP18" s="582"/>
      <c r="EZQ18" s="582"/>
      <c r="EZR18" s="582"/>
      <c r="EZS18" s="582"/>
      <c r="EZT18" s="582"/>
      <c r="EZU18" s="582"/>
      <c r="EZV18" s="582"/>
      <c r="EZW18" s="582"/>
      <c r="EZX18" s="582"/>
      <c r="EZY18" s="582"/>
      <c r="EZZ18" s="582"/>
      <c r="FAA18" s="582"/>
      <c r="FAB18" s="582"/>
      <c r="FAC18" s="582"/>
      <c r="FAD18" s="582"/>
      <c r="FAE18" s="582"/>
      <c r="FAF18" s="582"/>
      <c r="FAG18" s="582"/>
      <c r="FAH18" s="582"/>
      <c r="FAI18" s="582"/>
      <c r="FAJ18" s="582"/>
      <c r="FAK18" s="582"/>
      <c r="FAL18" s="582"/>
      <c r="FAM18" s="582"/>
      <c r="FAN18" s="582"/>
      <c r="FAO18" s="582"/>
      <c r="FAP18" s="582"/>
      <c r="FAQ18" s="582"/>
      <c r="FAR18" s="582"/>
      <c r="FAS18" s="582"/>
      <c r="FAT18" s="582"/>
      <c r="FAU18" s="582"/>
      <c r="FAV18" s="582"/>
      <c r="FAW18" s="582"/>
      <c r="FAX18" s="582"/>
      <c r="FAY18" s="582"/>
      <c r="FAZ18" s="582"/>
      <c r="FBA18" s="582"/>
      <c r="FBB18" s="582"/>
      <c r="FBC18" s="582"/>
      <c r="FBD18" s="582"/>
      <c r="FBE18" s="582"/>
      <c r="FBF18" s="582"/>
      <c r="FBG18" s="582"/>
      <c r="FBH18" s="582"/>
      <c r="FBI18" s="582"/>
      <c r="FBJ18" s="582"/>
      <c r="FBK18" s="582"/>
      <c r="FBL18" s="582"/>
      <c r="FBM18" s="582"/>
      <c r="FBN18" s="582"/>
      <c r="FBO18" s="582"/>
      <c r="FBP18" s="582"/>
      <c r="FBQ18" s="582"/>
      <c r="FBR18" s="582"/>
      <c r="FBS18" s="582"/>
      <c r="FBT18" s="582"/>
      <c r="FBU18" s="582"/>
      <c r="FBV18" s="582"/>
      <c r="FBW18" s="582"/>
      <c r="FBX18" s="582"/>
      <c r="FBY18" s="582"/>
      <c r="FBZ18" s="582"/>
      <c r="FCA18" s="582"/>
      <c r="FCB18" s="582"/>
      <c r="FCC18" s="582"/>
      <c r="FCD18" s="582"/>
      <c r="FCE18" s="582"/>
      <c r="FCF18" s="582"/>
      <c r="FCG18" s="582"/>
      <c r="FCH18" s="582"/>
      <c r="FCI18" s="582"/>
      <c r="FCJ18" s="582"/>
      <c r="FCK18" s="582"/>
      <c r="FCL18" s="582"/>
      <c r="FCM18" s="582"/>
      <c r="FCN18" s="582"/>
      <c r="FCO18" s="582"/>
      <c r="FCP18" s="582"/>
      <c r="FCQ18" s="582"/>
      <c r="FCR18" s="582"/>
      <c r="FCS18" s="582"/>
      <c r="FCT18" s="582"/>
      <c r="FCU18" s="582"/>
      <c r="FCV18" s="582"/>
      <c r="FCW18" s="582"/>
      <c r="FCX18" s="582"/>
      <c r="FCY18" s="582"/>
      <c r="FCZ18" s="582"/>
      <c r="FDA18" s="582"/>
      <c r="FDB18" s="582"/>
      <c r="FDC18" s="582"/>
      <c r="FDD18" s="582"/>
      <c r="FDE18" s="582"/>
      <c r="FDF18" s="582"/>
      <c r="FDG18" s="582"/>
      <c r="FDH18" s="582"/>
      <c r="FDI18" s="582"/>
      <c r="FDJ18" s="582"/>
      <c r="FDK18" s="582"/>
      <c r="FDL18" s="582"/>
      <c r="FDM18" s="582"/>
      <c r="FDN18" s="582"/>
      <c r="FDO18" s="582"/>
      <c r="FDP18" s="582"/>
      <c r="FDQ18" s="582"/>
      <c r="FDR18" s="582"/>
      <c r="FDS18" s="582"/>
      <c r="FDT18" s="582"/>
      <c r="FDU18" s="582"/>
      <c r="FDV18" s="582"/>
      <c r="FDW18" s="582"/>
      <c r="FDX18" s="582"/>
      <c r="FDY18" s="582"/>
      <c r="FDZ18" s="582"/>
      <c r="FEA18" s="582"/>
      <c r="FEB18" s="582"/>
      <c r="FEC18" s="582"/>
      <c r="FED18" s="582"/>
      <c r="FEE18" s="582"/>
      <c r="FEF18" s="582"/>
      <c r="FEG18" s="582"/>
      <c r="FEH18" s="582"/>
      <c r="FEI18" s="582"/>
      <c r="FEJ18" s="582"/>
      <c r="FEK18" s="582"/>
      <c r="FEL18" s="582"/>
      <c r="FEM18" s="582"/>
      <c r="FEN18" s="582"/>
      <c r="FEO18" s="582"/>
      <c r="FEP18" s="582"/>
      <c r="FEQ18" s="582"/>
      <c r="FER18" s="582"/>
      <c r="FES18" s="582"/>
      <c r="FET18" s="582"/>
      <c r="FEU18" s="582"/>
      <c r="FEV18" s="582"/>
      <c r="FEW18" s="582"/>
      <c r="FEX18" s="582"/>
      <c r="FEY18" s="582"/>
      <c r="FEZ18" s="582"/>
      <c r="FFA18" s="582"/>
      <c r="FFB18" s="582"/>
      <c r="FFC18" s="582"/>
      <c r="FFD18" s="582"/>
      <c r="FFE18" s="582"/>
      <c r="FFF18" s="582"/>
      <c r="FFG18" s="582"/>
      <c r="FFH18" s="582"/>
      <c r="FFI18" s="582"/>
      <c r="FFJ18" s="582"/>
      <c r="FFK18" s="582"/>
      <c r="FFL18" s="582"/>
      <c r="FFM18" s="582"/>
      <c r="FFN18" s="582"/>
      <c r="FFO18" s="582"/>
      <c r="FFP18" s="582"/>
      <c r="FFQ18" s="582"/>
      <c r="FFR18" s="582"/>
      <c r="FFS18" s="582"/>
      <c r="FFT18" s="582"/>
      <c r="FFU18" s="582"/>
      <c r="FFV18" s="582"/>
      <c r="FFW18" s="582"/>
      <c r="FFX18" s="582"/>
      <c r="FFY18" s="582"/>
      <c r="FFZ18" s="582"/>
      <c r="FGA18" s="582"/>
      <c r="FGB18" s="582"/>
      <c r="FGC18" s="582"/>
      <c r="FGD18" s="582"/>
      <c r="FGE18" s="582"/>
      <c r="FGF18" s="582"/>
      <c r="FGG18" s="582"/>
      <c r="FGH18" s="582"/>
      <c r="FGI18" s="582"/>
      <c r="FGJ18" s="582"/>
      <c r="FGK18" s="582"/>
      <c r="FGL18" s="582"/>
      <c r="FGM18" s="582"/>
      <c r="FGN18" s="582"/>
      <c r="FGO18" s="582"/>
      <c r="FGP18" s="582"/>
      <c r="FGQ18" s="582"/>
      <c r="FGR18" s="582"/>
      <c r="FGS18" s="582"/>
      <c r="FGT18" s="582"/>
      <c r="FGU18" s="582"/>
      <c r="FGV18" s="582"/>
      <c r="FGW18" s="582"/>
      <c r="FGX18" s="582"/>
      <c r="FGY18" s="582"/>
      <c r="FGZ18" s="582"/>
      <c r="FHA18" s="582"/>
      <c r="FHB18" s="582"/>
      <c r="FHC18" s="582"/>
      <c r="FHD18" s="582"/>
      <c r="FHE18" s="582"/>
      <c r="FHF18" s="582"/>
      <c r="FHG18" s="582"/>
      <c r="FHH18" s="582"/>
      <c r="FHI18" s="582"/>
      <c r="FHJ18" s="582"/>
      <c r="FHK18" s="582"/>
      <c r="FHL18" s="582"/>
      <c r="FHM18" s="582"/>
      <c r="FHN18" s="582"/>
      <c r="FHO18" s="582"/>
      <c r="FHP18" s="582"/>
      <c r="FHQ18" s="582"/>
      <c r="FHR18" s="582"/>
      <c r="FHS18" s="582"/>
      <c r="FHT18" s="582"/>
      <c r="FHU18" s="582"/>
      <c r="FHV18" s="582"/>
      <c r="FHW18" s="582"/>
      <c r="FHX18" s="582"/>
      <c r="FHY18" s="582"/>
      <c r="FHZ18" s="582"/>
      <c r="FIA18" s="582"/>
      <c r="FIB18" s="582"/>
      <c r="FIC18" s="582"/>
      <c r="FID18" s="582"/>
      <c r="FIE18" s="582"/>
      <c r="FIF18" s="582"/>
      <c r="FIG18" s="582"/>
      <c r="FIH18" s="582"/>
      <c r="FII18" s="582"/>
      <c r="FIJ18" s="582"/>
      <c r="FIK18" s="582"/>
      <c r="FIL18" s="582"/>
      <c r="FIM18" s="582"/>
      <c r="FIN18" s="582"/>
      <c r="FIO18" s="582"/>
      <c r="FIP18" s="582"/>
      <c r="FIQ18" s="582"/>
      <c r="FIR18" s="582"/>
      <c r="FIS18" s="582"/>
      <c r="FIT18" s="582"/>
      <c r="FIU18" s="582"/>
      <c r="FIV18" s="582"/>
      <c r="FIW18" s="582"/>
      <c r="FIX18" s="582"/>
      <c r="FIY18" s="582"/>
      <c r="FIZ18" s="582"/>
      <c r="FJA18" s="582"/>
      <c r="FJB18" s="582"/>
      <c r="FJC18" s="582"/>
      <c r="FJD18" s="582"/>
      <c r="FJE18" s="582"/>
      <c r="FJF18" s="582"/>
      <c r="FJG18" s="582"/>
      <c r="FJH18" s="582"/>
      <c r="FJI18" s="582"/>
      <c r="FJJ18" s="582"/>
      <c r="FJK18" s="582"/>
      <c r="FJL18" s="582"/>
      <c r="FJM18" s="582"/>
      <c r="FJN18" s="582"/>
      <c r="FJO18" s="582"/>
      <c r="FJP18" s="582"/>
      <c r="FJQ18" s="582"/>
      <c r="FJR18" s="582"/>
      <c r="FJS18" s="582"/>
      <c r="FJT18" s="582"/>
      <c r="FJU18" s="582"/>
      <c r="FJV18" s="582"/>
      <c r="FJW18" s="582"/>
      <c r="FJX18" s="582"/>
      <c r="FJY18" s="582"/>
      <c r="FJZ18" s="582"/>
      <c r="FKA18" s="582"/>
      <c r="FKB18" s="582"/>
      <c r="FKC18" s="582"/>
      <c r="FKD18" s="582"/>
      <c r="FKE18" s="582"/>
      <c r="FKF18" s="582"/>
      <c r="FKG18" s="582"/>
      <c r="FKH18" s="582"/>
      <c r="FKI18" s="582"/>
      <c r="FKJ18" s="582"/>
      <c r="FKK18" s="582"/>
      <c r="FKL18" s="582"/>
      <c r="FKM18" s="582"/>
      <c r="FKN18" s="582"/>
      <c r="FKO18" s="582"/>
      <c r="FKP18" s="582"/>
      <c r="FKQ18" s="582"/>
      <c r="FKR18" s="582"/>
      <c r="FKS18" s="582"/>
      <c r="FKT18" s="582"/>
      <c r="FKU18" s="582"/>
      <c r="FKV18" s="582"/>
      <c r="FKW18" s="582"/>
      <c r="FKX18" s="582"/>
      <c r="FKY18" s="582"/>
      <c r="FKZ18" s="582"/>
      <c r="FLA18" s="582"/>
      <c r="FLB18" s="582"/>
      <c r="FLC18" s="582"/>
      <c r="FLD18" s="582"/>
      <c r="FLE18" s="582"/>
      <c r="FLF18" s="582"/>
      <c r="FLG18" s="582"/>
      <c r="FLH18" s="582"/>
      <c r="FLI18" s="582"/>
      <c r="FLJ18" s="582"/>
      <c r="FLK18" s="582"/>
      <c r="FLL18" s="582"/>
      <c r="FLM18" s="582"/>
      <c r="FLN18" s="582"/>
      <c r="FLO18" s="582"/>
      <c r="FLP18" s="582"/>
      <c r="FLQ18" s="582"/>
      <c r="FLR18" s="582"/>
      <c r="FLS18" s="582"/>
      <c r="FLT18" s="582"/>
      <c r="FLU18" s="582"/>
      <c r="FLV18" s="582"/>
      <c r="FLW18" s="582"/>
      <c r="FLX18" s="582"/>
      <c r="FLY18" s="582"/>
      <c r="FLZ18" s="582"/>
      <c r="FMA18" s="582"/>
      <c r="FMB18" s="582"/>
      <c r="FMC18" s="582"/>
      <c r="FMD18" s="582"/>
      <c r="FME18" s="582"/>
      <c r="FMF18" s="582"/>
      <c r="FMG18" s="582"/>
      <c r="FMH18" s="582"/>
      <c r="FMI18" s="582"/>
      <c r="FMJ18" s="582"/>
      <c r="FMK18" s="582"/>
      <c r="FML18" s="582"/>
      <c r="FMM18" s="582"/>
      <c r="FMN18" s="582"/>
      <c r="FMO18" s="582"/>
      <c r="FMP18" s="582"/>
      <c r="FMQ18" s="582"/>
      <c r="FMR18" s="582"/>
      <c r="FMS18" s="582"/>
      <c r="FMT18" s="582"/>
      <c r="FMU18" s="582"/>
      <c r="FMV18" s="582"/>
      <c r="FMW18" s="582"/>
      <c r="FMX18" s="582"/>
      <c r="FMY18" s="582"/>
      <c r="FMZ18" s="582"/>
      <c r="FNA18" s="582"/>
      <c r="FNB18" s="582"/>
      <c r="FNC18" s="582"/>
      <c r="FND18" s="582"/>
      <c r="FNE18" s="582"/>
      <c r="FNF18" s="582"/>
      <c r="FNG18" s="582"/>
      <c r="FNH18" s="582"/>
      <c r="FNI18" s="582"/>
      <c r="FNJ18" s="582"/>
      <c r="FNK18" s="582"/>
      <c r="FNL18" s="582"/>
      <c r="FNM18" s="582"/>
      <c r="FNN18" s="582"/>
      <c r="FNO18" s="582"/>
      <c r="FNP18" s="582"/>
      <c r="FNQ18" s="582"/>
      <c r="FNR18" s="582"/>
      <c r="FNS18" s="582"/>
      <c r="FNT18" s="582"/>
      <c r="FNU18" s="582"/>
      <c r="FNV18" s="582"/>
      <c r="FNW18" s="582"/>
      <c r="FNX18" s="582"/>
      <c r="FNY18" s="582"/>
      <c r="FNZ18" s="582"/>
      <c r="FOA18" s="582"/>
      <c r="FOB18" s="582"/>
      <c r="FOC18" s="582"/>
      <c r="FOD18" s="582"/>
      <c r="FOE18" s="582"/>
      <c r="FOF18" s="582"/>
      <c r="FOG18" s="582"/>
      <c r="FOH18" s="582"/>
      <c r="FOI18" s="582"/>
      <c r="FOJ18" s="582"/>
      <c r="FOK18" s="582"/>
      <c r="FOL18" s="582"/>
      <c r="FOM18" s="582"/>
      <c r="FON18" s="582"/>
      <c r="FOO18" s="582"/>
      <c r="FOP18" s="582"/>
      <c r="FOQ18" s="582"/>
      <c r="FOR18" s="582"/>
      <c r="FOS18" s="582"/>
      <c r="FOT18" s="582"/>
      <c r="FOU18" s="582"/>
      <c r="FOV18" s="582"/>
      <c r="FOW18" s="582"/>
      <c r="FOX18" s="582"/>
      <c r="FOY18" s="582"/>
      <c r="FOZ18" s="582"/>
      <c r="FPA18" s="582"/>
      <c r="FPB18" s="582"/>
      <c r="FPC18" s="582"/>
      <c r="FPD18" s="582"/>
      <c r="FPE18" s="582"/>
      <c r="FPF18" s="582"/>
      <c r="FPG18" s="582"/>
      <c r="FPH18" s="582"/>
      <c r="FPI18" s="582"/>
      <c r="FPJ18" s="582"/>
      <c r="FPK18" s="582"/>
      <c r="FPL18" s="582"/>
      <c r="FPM18" s="582"/>
      <c r="FPN18" s="582"/>
      <c r="FPO18" s="582"/>
      <c r="FPP18" s="582"/>
      <c r="FPQ18" s="582"/>
      <c r="FPR18" s="582"/>
      <c r="FPS18" s="582"/>
      <c r="FPT18" s="582"/>
      <c r="FPU18" s="582"/>
      <c r="FPV18" s="582"/>
      <c r="FPW18" s="582"/>
      <c r="FPX18" s="582"/>
      <c r="FPY18" s="582"/>
      <c r="FPZ18" s="582"/>
      <c r="FQA18" s="582"/>
      <c r="FQB18" s="582"/>
      <c r="FQC18" s="582"/>
      <c r="FQD18" s="582"/>
      <c r="FQE18" s="582"/>
      <c r="FQF18" s="582"/>
      <c r="FQG18" s="582"/>
      <c r="FQH18" s="582"/>
      <c r="FQI18" s="582"/>
      <c r="FQJ18" s="582"/>
      <c r="FQK18" s="582"/>
      <c r="FQL18" s="582"/>
      <c r="FQM18" s="582"/>
      <c r="FQN18" s="582"/>
      <c r="FQO18" s="582"/>
      <c r="FQP18" s="582"/>
      <c r="FQQ18" s="582"/>
      <c r="FQR18" s="582"/>
      <c r="FQS18" s="582"/>
      <c r="FQT18" s="582"/>
      <c r="FQU18" s="582"/>
      <c r="FQV18" s="582"/>
      <c r="FQW18" s="582"/>
      <c r="FQX18" s="582"/>
      <c r="FQY18" s="582"/>
      <c r="FQZ18" s="582"/>
      <c r="FRA18" s="582"/>
      <c r="FRB18" s="582"/>
      <c r="FRC18" s="582"/>
      <c r="FRD18" s="582"/>
      <c r="FRE18" s="582"/>
      <c r="FRF18" s="582"/>
      <c r="FRG18" s="582"/>
      <c r="FRH18" s="582"/>
      <c r="FRI18" s="582"/>
      <c r="FRJ18" s="582"/>
      <c r="FRK18" s="582"/>
      <c r="FRL18" s="582"/>
      <c r="FRM18" s="582"/>
      <c r="FRN18" s="582"/>
      <c r="FRO18" s="582"/>
      <c r="FRP18" s="582"/>
      <c r="FRQ18" s="582"/>
      <c r="FRR18" s="582"/>
      <c r="FRS18" s="582"/>
      <c r="FRT18" s="582"/>
      <c r="FRU18" s="582"/>
      <c r="FRV18" s="582"/>
      <c r="FRW18" s="582"/>
      <c r="FRX18" s="582"/>
      <c r="FRY18" s="582"/>
      <c r="FRZ18" s="582"/>
      <c r="FSA18" s="582"/>
      <c r="FSB18" s="582"/>
      <c r="FSC18" s="582"/>
      <c r="FSD18" s="582"/>
      <c r="FSE18" s="582"/>
      <c r="FSF18" s="582"/>
      <c r="FSG18" s="582"/>
      <c r="FSH18" s="582"/>
      <c r="FSI18" s="582"/>
      <c r="FSJ18" s="582"/>
      <c r="FSK18" s="582"/>
      <c r="FSL18" s="582"/>
      <c r="FSM18" s="582"/>
      <c r="FSN18" s="582"/>
      <c r="FSO18" s="582"/>
      <c r="FSP18" s="582"/>
      <c r="FSQ18" s="582"/>
      <c r="FSR18" s="582"/>
      <c r="FSS18" s="582"/>
      <c r="FST18" s="582"/>
      <c r="FSU18" s="582"/>
      <c r="FSV18" s="582"/>
      <c r="FSW18" s="582"/>
      <c r="FSX18" s="582"/>
      <c r="FSY18" s="582"/>
      <c r="FSZ18" s="582"/>
      <c r="FTA18" s="582"/>
      <c r="FTB18" s="582"/>
      <c r="FTC18" s="582"/>
      <c r="FTD18" s="582"/>
      <c r="FTE18" s="582"/>
      <c r="FTF18" s="582"/>
      <c r="FTG18" s="582"/>
      <c r="FTH18" s="582"/>
      <c r="FTI18" s="582"/>
      <c r="FTJ18" s="582"/>
      <c r="FTK18" s="582"/>
      <c r="FTL18" s="582"/>
      <c r="FTM18" s="582"/>
      <c r="FTN18" s="582"/>
      <c r="FTO18" s="582"/>
      <c r="FTP18" s="582"/>
      <c r="FTQ18" s="582"/>
      <c r="FTR18" s="582"/>
      <c r="FTS18" s="582"/>
      <c r="FTT18" s="582"/>
      <c r="FTU18" s="582"/>
      <c r="FTV18" s="582"/>
      <c r="FTW18" s="582"/>
      <c r="FTX18" s="582"/>
      <c r="FTY18" s="582"/>
      <c r="FTZ18" s="582"/>
      <c r="FUA18" s="582"/>
      <c r="FUB18" s="582"/>
      <c r="FUC18" s="582"/>
      <c r="FUD18" s="582"/>
      <c r="FUE18" s="582"/>
      <c r="FUF18" s="582"/>
      <c r="FUG18" s="582"/>
      <c r="FUH18" s="582"/>
      <c r="FUI18" s="582"/>
      <c r="FUJ18" s="582"/>
      <c r="FUK18" s="582"/>
      <c r="FUL18" s="582"/>
      <c r="FUM18" s="582"/>
      <c r="FUN18" s="582"/>
      <c r="FUO18" s="582"/>
      <c r="FUP18" s="582"/>
      <c r="FUQ18" s="582"/>
      <c r="FUR18" s="582"/>
      <c r="FUS18" s="582"/>
      <c r="FUT18" s="582"/>
      <c r="FUU18" s="582"/>
      <c r="FUV18" s="582"/>
      <c r="FUW18" s="582"/>
      <c r="FUX18" s="582"/>
      <c r="FUY18" s="582"/>
      <c r="FUZ18" s="582"/>
      <c r="FVA18" s="582"/>
      <c r="FVB18" s="582"/>
      <c r="FVC18" s="582"/>
      <c r="FVD18" s="582"/>
      <c r="FVE18" s="582"/>
      <c r="FVF18" s="582"/>
      <c r="FVG18" s="582"/>
      <c r="FVH18" s="582"/>
      <c r="FVI18" s="582"/>
      <c r="FVJ18" s="582"/>
      <c r="FVK18" s="582"/>
      <c r="FVL18" s="582"/>
      <c r="FVM18" s="582"/>
      <c r="FVN18" s="582"/>
      <c r="FVO18" s="582"/>
      <c r="FVP18" s="582"/>
      <c r="FVQ18" s="582"/>
      <c r="FVR18" s="582"/>
      <c r="FVS18" s="582"/>
      <c r="FVT18" s="582"/>
      <c r="FVU18" s="582"/>
      <c r="FVV18" s="582"/>
      <c r="FVW18" s="582"/>
      <c r="FVX18" s="582"/>
      <c r="FVY18" s="582"/>
      <c r="FVZ18" s="582"/>
      <c r="FWA18" s="582"/>
      <c r="FWB18" s="582"/>
      <c r="FWC18" s="582"/>
      <c r="FWD18" s="582"/>
      <c r="FWE18" s="582"/>
      <c r="FWF18" s="582"/>
      <c r="FWG18" s="582"/>
      <c r="FWH18" s="582"/>
      <c r="FWI18" s="582"/>
      <c r="FWJ18" s="582"/>
      <c r="FWK18" s="582"/>
      <c r="FWL18" s="582"/>
      <c r="FWM18" s="582"/>
      <c r="FWN18" s="582"/>
      <c r="FWO18" s="582"/>
      <c r="FWP18" s="582"/>
      <c r="FWQ18" s="582"/>
      <c r="FWR18" s="582"/>
      <c r="FWS18" s="582"/>
      <c r="FWT18" s="582"/>
      <c r="FWU18" s="582"/>
      <c r="FWV18" s="582"/>
      <c r="FWW18" s="582"/>
      <c r="FWX18" s="582"/>
      <c r="FWY18" s="582"/>
      <c r="FWZ18" s="582"/>
      <c r="FXA18" s="582"/>
      <c r="FXB18" s="582"/>
      <c r="FXC18" s="582"/>
      <c r="FXD18" s="582"/>
      <c r="FXE18" s="582"/>
      <c r="FXF18" s="582"/>
      <c r="FXG18" s="582"/>
      <c r="FXH18" s="582"/>
      <c r="FXI18" s="582"/>
      <c r="FXJ18" s="582"/>
      <c r="FXK18" s="582"/>
      <c r="FXL18" s="582"/>
      <c r="FXM18" s="582"/>
      <c r="FXN18" s="582"/>
      <c r="FXO18" s="582"/>
      <c r="FXP18" s="582"/>
      <c r="FXQ18" s="582"/>
      <c r="FXR18" s="582"/>
      <c r="FXS18" s="582"/>
      <c r="FXT18" s="582"/>
      <c r="FXU18" s="582"/>
      <c r="FXV18" s="582"/>
      <c r="FXW18" s="582"/>
      <c r="FXX18" s="582"/>
      <c r="FXY18" s="582"/>
      <c r="FXZ18" s="582"/>
      <c r="FYA18" s="582"/>
      <c r="FYB18" s="582"/>
      <c r="FYC18" s="582"/>
      <c r="FYD18" s="582"/>
      <c r="FYE18" s="582"/>
      <c r="FYF18" s="582"/>
      <c r="FYG18" s="582"/>
      <c r="FYH18" s="582"/>
      <c r="FYI18" s="582"/>
      <c r="FYJ18" s="582"/>
      <c r="FYK18" s="582"/>
      <c r="FYL18" s="582"/>
      <c r="FYM18" s="582"/>
      <c r="FYN18" s="582"/>
      <c r="FYO18" s="582"/>
      <c r="FYP18" s="582"/>
      <c r="FYQ18" s="582"/>
      <c r="FYR18" s="582"/>
      <c r="FYS18" s="582"/>
      <c r="FYT18" s="582"/>
      <c r="FYU18" s="582"/>
      <c r="FYV18" s="582"/>
      <c r="FYW18" s="582"/>
      <c r="FYX18" s="582"/>
      <c r="FYY18" s="582"/>
      <c r="FYZ18" s="582"/>
      <c r="FZA18" s="582"/>
      <c r="FZB18" s="582"/>
      <c r="FZC18" s="582"/>
      <c r="FZD18" s="582"/>
      <c r="FZE18" s="582"/>
      <c r="FZF18" s="582"/>
      <c r="FZG18" s="582"/>
      <c r="FZH18" s="582"/>
      <c r="FZI18" s="582"/>
      <c r="FZJ18" s="582"/>
      <c r="FZK18" s="582"/>
      <c r="FZL18" s="582"/>
      <c r="FZM18" s="582"/>
      <c r="FZN18" s="582"/>
      <c r="FZO18" s="582"/>
      <c r="FZP18" s="582"/>
      <c r="FZQ18" s="582"/>
      <c r="FZR18" s="582"/>
      <c r="FZS18" s="582"/>
      <c r="FZT18" s="582"/>
      <c r="FZU18" s="582"/>
      <c r="FZV18" s="582"/>
      <c r="FZW18" s="582"/>
      <c r="FZX18" s="582"/>
      <c r="FZY18" s="582"/>
      <c r="FZZ18" s="582"/>
      <c r="GAA18" s="582"/>
      <c r="GAB18" s="582"/>
      <c r="GAC18" s="582"/>
      <c r="GAD18" s="582"/>
      <c r="GAE18" s="582"/>
      <c r="GAF18" s="582"/>
      <c r="GAG18" s="582"/>
      <c r="GAH18" s="582"/>
      <c r="GAI18" s="582"/>
      <c r="GAJ18" s="582"/>
      <c r="GAK18" s="582"/>
      <c r="GAL18" s="582"/>
      <c r="GAM18" s="582"/>
      <c r="GAN18" s="582"/>
      <c r="GAO18" s="582"/>
      <c r="GAP18" s="582"/>
      <c r="GAQ18" s="582"/>
      <c r="GAR18" s="582"/>
      <c r="GAS18" s="582"/>
      <c r="GAT18" s="582"/>
      <c r="GAU18" s="582"/>
      <c r="GAV18" s="582"/>
      <c r="GAW18" s="582"/>
      <c r="GAX18" s="582"/>
      <c r="GAY18" s="582"/>
      <c r="GAZ18" s="582"/>
      <c r="GBA18" s="582"/>
      <c r="GBB18" s="582"/>
      <c r="GBC18" s="582"/>
      <c r="GBD18" s="582"/>
      <c r="GBE18" s="582"/>
      <c r="GBF18" s="582"/>
      <c r="GBG18" s="582"/>
      <c r="GBH18" s="582"/>
      <c r="GBI18" s="582"/>
      <c r="GBJ18" s="582"/>
      <c r="GBK18" s="582"/>
      <c r="GBL18" s="582"/>
      <c r="GBM18" s="582"/>
      <c r="GBN18" s="582"/>
      <c r="GBO18" s="582"/>
      <c r="GBP18" s="582"/>
      <c r="GBQ18" s="582"/>
      <c r="GBR18" s="582"/>
      <c r="GBS18" s="582"/>
      <c r="GBT18" s="582"/>
      <c r="GBU18" s="582"/>
      <c r="GBV18" s="582"/>
      <c r="GBW18" s="582"/>
      <c r="GBX18" s="582"/>
      <c r="GBY18" s="582"/>
      <c r="GBZ18" s="582"/>
      <c r="GCA18" s="582"/>
      <c r="GCB18" s="582"/>
      <c r="GCC18" s="582"/>
      <c r="GCD18" s="582"/>
      <c r="GCE18" s="582"/>
      <c r="GCF18" s="582"/>
      <c r="GCG18" s="582"/>
      <c r="GCH18" s="582"/>
      <c r="GCI18" s="582"/>
      <c r="GCJ18" s="582"/>
      <c r="GCK18" s="582"/>
      <c r="GCL18" s="582"/>
      <c r="GCM18" s="582"/>
      <c r="GCN18" s="582"/>
      <c r="GCO18" s="582"/>
      <c r="GCP18" s="582"/>
      <c r="GCQ18" s="582"/>
      <c r="GCR18" s="582"/>
      <c r="GCS18" s="582"/>
      <c r="GCT18" s="582"/>
      <c r="GCU18" s="582"/>
      <c r="GCV18" s="582"/>
      <c r="GCW18" s="582"/>
      <c r="GCX18" s="582"/>
      <c r="GCY18" s="582"/>
      <c r="GCZ18" s="582"/>
      <c r="GDA18" s="582"/>
      <c r="GDB18" s="582"/>
      <c r="GDC18" s="582"/>
      <c r="GDD18" s="582"/>
      <c r="GDE18" s="582"/>
      <c r="GDF18" s="582"/>
      <c r="GDG18" s="582"/>
      <c r="GDH18" s="582"/>
      <c r="GDI18" s="582"/>
      <c r="GDJ18" s="582"/>
      <c r="GDK18" s="582"/>
      <c r="GDL18" s="582"/>
      <c r="GDM18" s="582"/>
      <c r="GDN18" s="582"/>
      <c r="GDO18" s="582"/>
      <c r="GDP18" s="582"/>
      <c r="GDQ18" s="582"/>
      <c r="GDR18" s="582"/>
      <c r="GDS18" s="582"/>
      <c r="GDT18" s="582"/>
      <c r="GDU18" s="582"/>
      <c r="GDV18" s="582"/>
      <c r="GDW18" s="582"/>
      <c r="GDX18" s="582"/>
      <c r="GDY18" s="582"/>
      <c r="GDZ18" s="582"/>
      <c r="GEA18" s="582"/>
      <c r="GEB18" s="582"/>
      <c r="GEC18" s="582"/>
      <c r="GED18" s="582"/>
      <c r="GEE18" s="582"/>
      <c r="GEF18" s="582"/>
      <c r="GEG18" s="582"/>
      <c r="GEH18" s="582"/>
      <c r="GEI18" s="582"/>
      <c r="GEJ18" s="582"/>
      <c r="GEK18" s="582"/>
      <c r="GEL18" s="582"/>
      <c r="GEM18" s="582"/>
      <c r="GEN18" s="582"/>
      <c r="GEO18" s="582"/>
      <c r="GEP18" s="582"/>
      <c r="GEQ18" s="582"/>
      <c r="GER18" s="582"/>
      <c r="GES18" s="582"/>
      <c r="GET18" s="582"/>
      <c r="GEU18" s="582"/>
      <c r="GEV18" s="582"/>
      <c r="GEW18" s="582"/>
      <c r="GEX18" s="582"/>
      <c r="GEY18" s="582"/>
      <c r="GEZ18" s="582"/>
      <c r="GFA18" s="582"/>
      <c r="GFB18" s="582"/>
      <c r="GFC18" s="582"/>
      <c r="GFD18" s="582"/>
      <c r="GFE18" s="582"/>
      <c r="GFF18" s="582"/>
      <c r="GFG18" s="582"/>
      <c r="GFH18" s="582"/>
      <c r="GFI18" s="582"/>
      <c r="GFJ18" s="582"/>
      <c r="GFK18" s="582"/>
      <c r="GFL18" s="582"/>
      <c r="GFM18" s="582"/>
      <c r="GFN18" s="582"/>
      <c r="GFO18" s="582"/>
      <c r="GFP18" s="582"/>
      <c r="GFQ18" s="582"/>
      <c r="GFR18" s="582"/>
      <c r="GFS18" s="582"/>
      <c r="GFT18" s="582"/>
      <c r="GFU18" s="582"/>
      <c r="GFV18" s="582"/>
      <c r="GFW18" s="582"/>
      <c r="GFX18" s="582"/>
      <c r="GFY18" s="582"/>
      <c r="GFZ18" s="582"/>
      <c r="GGA18" s="582"/>
      <c r="GGB18" s="582"/>
      <c r="GGC18" s="582"/>
      <c r="GGD18" s="582"/>
      <c r="GGE18" s="582"/>
      <c r="GGF18" s="582"/>
      <c r="GGG18" s="582"/>
      <c r="GGH18" s="582"/>
      <c r="GGI18" s="582"/>
      <c r="GGJ18" s="582"/>
      <c r="GGK18" s="582"/>
      <c r="GGL18" s="582"/>
      <c r="GGM18" s="582"/>
      <c r="GGN18" s="582"/>
      <c r="GGO18" s="582"/>
      <c r="GGP18" s="582"/>
      <c r="GGQ18" s="582"/>
      <c r="GGR18" s="582"/>
      <c r="GGS18" s="582"/>
      <c r="GGT18" s="582"/>
      <c r="GGU18" s="582"/>
      <c r="GGV18" s="582"/>
      <c r="GGW18" s="582"/>
      <c r="GGX18" s="582"/>
      <c r="GGY18" s="582"/>
      <c r="GGZ18" s="582"/>
      <c r="GHA18" s="582"/>
      <c r="GHB18" s="582"/>
      <c r="GHC18" s="582"/>
      <c r="GHD18" s="582"/>
      <c r="GHE18" s="582"/>
      <c r="GHF18" s="582"/>
      <c r="GHG18" s="582"/>
      <c r="GHH18" s="582"/>
      <c r="GHI18" s="582"/>
      <c r="GHJ18" s="582"/>
      <c r="GHK18" s="582"/>
      <c r="GHL18" s="582"/>
      <c r="GHM18" s="582"/>
      <c r="GHN18" s="582"/>
      <c r="GHO18" s="582"/>
      <c r="GHP18" s="582"/>
      <c r="GHQ18" s="582"/>
      <c r="GHR18" s="582"/>
      <c r="GHS18" s="582"/>
      <c r="GHT18" s="582"/>
      <c r="GHU18" s="582"/>
      <c r="GHV18" s="582"/>
      <c r="GHW18" s="582"/>
      <c r="GHX18" s="582"/>
      <c r="GHY18" s="582"/>
      <c r="GHZ18" s="582"/>
      <c r="GIA18" s="582"/>
      <c r="GIB18" s="582"/>
      <c r="GIC18" s="582"/>
      <c r="GID18" s="582"/>
      <c r="GIE18" s="582"/>
      <c r="GIF18" s="582"/>
      <c r="GIG18" s="582"/>
      <c r="GIH18" s="582"/>
      <c r="GII18" s="582"/>
      <c r="GIJ18" s="582"/>
      <c r="GIK18" s="582"/>
      <c r="GIL18" s="582"/>
      <c r="GIM18" s="582"/>
      <c r="GIN18" s="582"/>
      <c r="GIO18" s="582"/>
      <c r="GIP18" s="582"/>
      <c r="GIQ18" s="582"/>
      <c r="GIR18" s="582"/>
      <c r="GIS18" s="582"/>
      <c r="GIT18" s="582"/>
      <c r="GIU18" s="582"/>
      <c r="GIV18" s="582"/>
      <c r="GIW18" s="582"/>
      <c r="GIX18" s="582"/>
      <c r="GIY18" s="582"/>
      <c r="GIZ18" s="582"/>
      <c r="GJA18" s="582"/>
      <c r="GJB18" s="582"/>
      <c r="GJC18" s="582"/>
      <c r="GJD18" s="582"/>
      <c r="GJE18" s="582"/>
      <c r="GJF18" s="582"/>
      <c r="GJG18" s="582"/>
      <c r="GJH18" s="582"/>
      <c r="GJI18" s="582"/>
      <c r="GJJ18" s="582"/>
      <c r="GJK18" s="582"/>
      <c r="GJL18" s="582"/>
      <c r="GJM18" s="582"/>
      <c r="GJN18" s="582"/>
      <c r="GJO18" s="582"/>
      <c r="GJP18" s="582"/>
      <c r="GJQ18" s="582"/>
      <c r="GJR18" s="582"/>
      <c r="GJS18" s="582"/>
      <c r="GJT18" s="582"/>
      <c r="GJU18" s="582"/>
      <c r="GJV18" s="582"/>
      <c r="GJW18" s="582"/>
      <c r="GJX18" s="582"/>
      <c r="GJY18" s="582"/>
      <c r="GJZ18" s="582"/>
      <c r="GKA18" s="582"/>
      <c r="GKB18" s="582"/>
      <c r="GKC18" s="582"/>
      <c r="GKD18" s="582"/>
      <c r="GKE18" s="582"/>
      <c r="GKF18" s="582"/>
      <c r="GKG18" s="582"/>
      <c r="GKH18" s="582"/>
      <c r="GKI18" s="582"/>
      <c r="GKJ18" s="582"/>
      <c r="GKK18" s="582"/>
      <c r="GKL18" s="582"/>
      <c r="GKM18" s="582"/>
      <c r="GKN18" s="582"/>
      <c r="GKO18" s="582"/>
      <c r="GKP18" s="582"/>
      <c r="GKQ18" s="582"/>
      <c r="GKR18" s="582"/>
      <c r="GKS18" s="582"/>
      <c r="GKT18" s="582"/>
      <c r="GKU18" s="582"/>
      <c r="GKV18" s="582"/>
      <c r="GKW18" s="582"/>
      <c r="GKX18" s="582"/>
      <c r="GKY18" s="582"/>
      <c r="GKZ18" s="582"/>
      <c r="GLA18" s="582"/>
      <c r="GLB18" s="582"/>
      <c r="GLC18" s="582"/>
      <c r="GLD18" s="582"/>
      <c r="GLE18" s="582"/>
      <c r="GLF18" s="582"/>
      <c r="GLG18" s="582"/>
      <c r="GLH18" s="582"/>
      <c r="GLI18" s="582"/>
      <c r="GLJ18" s="582"/>
      <c r="GLK18" s="582"/>
      <c r="GLL18" s="582"/>
      <c r="GLM18" s="582"/>
      <c r="GLN18" s="582"/>
      <c r="GLO18" s="582"/>
      <c r="GLP18" s="582"/>
      <c r="GLQ18" s="582"/>
      <c r="GLR18" s="582"/>
      <c r="GLS18" s="582"/>
      <c r="GLT18" s="582"/>
      <c r="GLU18" s="582"/>
      <c r="GLV18" s="582"/>
      <c r="GLW18" s="582"/>
      <c r="GLX18" s="582"/>
      <c r="GLY18" s="582"/>
      <c r="GLZ18" s="582"/>
      <c r="GMA18" s="582"/>
      <c r="GMB18" s="582"/>
      <c r="GMC18" s="582"/>
      <c r="GMD18" s="582"/>
      <c r="GME18" s="582"/>
      <c r="GMF18" s="582"/>
      <c r="GMG18" s="582"/>
      <c r="GMH18" s="582"/>
      <c r="GMI18" s="582"/>
      <c r="GMJ18" s="582"/>
      <c r="GMK18" s="582"/>
      <c r="GML18" s="582"/>
      <c r="GMM18" s="582"/>
      <c r="GMN18" s="582"/>
      <c r="GMO18" s="582"/>
      <c r="GMP18" s="582"/>
      <c r="GMQ18" s="582"/>
      <c r="GMR18" s="582"/>
      <c r="GMS18" s="582"/>
      <c r="GMT18" s="582"/>
      <c r="GMU18" s="582"/>
      <c r="GMV18" s="582"/>
      <c r="GMW18" s="582"/>
      <c r="GMX18" s="582"/>
      <c r="GMY18" s="582"/>
      <c r="GMZ18" s="582"/>
      <c r="GNA18" s="582"/>
      <c r="GNB18" s="582"/>
      <c r="GNC18" s="582"/>
      <c r="GND18" s="582"/>
      <c r="GNE18" s="582"/>
      <c r="GNF18" s="582"/>
      <c r="GNG18" s="582"/>
      <c r="GNH18" s="582"/>
      <c r="GNI18" s="582"/>
      <c r="GNJ18" s="582"/>
      <c r="GNK18" s="582"/>
      <c r="GNL18" s="582"/>
      <c r="GNM18" s="582"/>
      <c r="GNN18" s="582"/>
      <c r="GNO18" s="582"/>
      <c r="GNP18" s="582"/>
      <c r="GNQ18" s="582"/>
      <c r="GNR18" s="582"/>
      <c r="GNS18" s="582"/>
      <c r="GNT18" s="582"/>
      <c r="GNU18" s="582"/>
      <c r="GNV18" s="582"/>
      <c r="GNW18" s="582"/>
      <c r="GNX18" s="582"/>
      <c r="GNY18" s="582"/>
      <c r="GNZ18" s="582"/>
      <c r="GOA18" s="582"/>
      <c r="GOB18" s="582"/>
      <c r="GOC18" s="582"/>
      <c r="GOD18" s="582"/>
      <c r="GOE18" s="582"/>
      <c r="GOF18" s="582"/>
      <c r="GOG18" s="582"/>
      <c r="GOH18" s="582"/>
      <c r="GOI18" s="582"/>
      <c r="GOJ18" s="582"/>
      <c r="GOK18" s="582"/>
      <c r="GOL18" s="582"/>
      <c r="GOM18" s="582"/>
      <c r="GON18" s="582"/>
      <c r="GOO18" s="582"/>
      <c r="GOP18" s="582"/>
      <c r="GOQ18" s="582"/>
      <c r="GOR18" s="582"/>
      <c r="GOS18" s="582"/>
      <c r="GOT18" s="582"/>
      <c r="GOU18" s="582"/>
      <c r="GOV18" s="582"/>
      <c r="GOW18" s="582"/>
      <c r="GOX18" s="582"/>
      <c r="GOY18" s="582"/>
      <c r="GOZ18" s="582"/>
      <c r="GPA18" s="582"/>
      <c r="GPB18" s="582"/>
      <c r="GPC18" s="582"/>
      <c r="GPD18" s="582"/>
      <c r="GPE18" s="582"/>
      <c r="GPF18" s="582"/>
      <c r="GPG18" s="582"/>
      <c r="GPH18" s="582"/>
      <c r="GPI18" s="582"/>
      <c r="GPJ18" s="582"/>
      <c r="GPK18" s="582"/>
      <c r="GPL18" s="582"/>
      <c r="GPM18" s="582"/>
      <c r="GPN18" s="582"/>
      <c r="GPO18" s="582"/>
      <c r="GPP18" s="582"/>
      <c r="GPQ18" s="582"/>
      <c r="GPR18" s="582"/>
      <c r="GPS18" s="582"/>
      <c r="GPT18" s="582"/>
      <c r="GPU18" s="582"/>
      <c r="GPV18" s="582"/>
      <c r="GPW18" s="582"/>
      <c r="GPX18" s="582"/>
      <c r="GPY18" s="582"/>
      <c r="GPZ18" s="582"/>
      <c r="GQA18" s="582"/>
      <c r="GQB18" s="582"/>
      <c r="GQC18" s="582"/>
      <c r="GQD18" s="582"/>
      <c r="GQE18" s="582"/>
      <c r="GQF18" s="582"/>
      <c r="GQG18" s="582"/>
      <c r="GQH18" s="582"/>
      <c r="GQI18" s="582"/>
      <c r="GQJ18" s="582"/>
      <c r="GQK18" s="582"/>
      <c r="GQL18" s="582"/>
      <c r="GQM18" s="582"/>
      <c r="GQN18" s="582"/>
      <c r="GQO18" s="582"/>
      <c r="GQP18" s="582"/>
      <c r="GQQ18" s="582"/>
      <c r="GQR18" s="582"/>
      <c r="GQS18" s="582"/>
      <c r="GQT18" s="582"/>
      <c r="GQU18" s="582"/>
      <c r="GQV18" s="582"/>
      <c r="GQW18" s="582"/>
      <c r="GQX18" s="582"/>
      <c r="GQY18" s="582"/>
      <c r="GQZ18" s="582"/>
      <c r="GRA18" s="582"/>
      <c r="GRB18" s="582"/>
      <c r="GRC18" s="582"/>
      <c r="GRD18" s="582"/>
      <c r="GRE18" s="582"/>
      <c r="GRF18" s="582"/>
      <c r="GRG18" s="582"/>
      <c r="GRH18" s="582"/>
      <c r="GRI18" s="582"/>
      <c r="GRJ18" s="582"/>
      <c r="GRK18" s="582"/>
      <c r="GRL18" s="582"/>
      <c r="GRM18" s="582"/>
      <c r="GRN18" s="582"/>
      <c r="GRO18" s="582"/>
      <c r="GRP18" s="582"/>
      <c r="GRQ18" s="582"/>
      <c r="GRR18" s="582"/>
      <c r="GRS18" s="582"/>
      <c r="GRT18" s="582"/>
      <c r="GRU18" s="582"/>
      <c r="GRV18" s="582"/>
      <c r="GRW18" s="582"/>
      <c r="GRX18" s="582"/>
      <c r="GRY18" s="582"/>
      <c r="GRZ18" s="582"/>
      <c r="GSA18" s="582"/>
      <c r="GSB18" s="582"/>
      <c r="GSC18" s="582"/>
      <c r="GSD18" s="582"/>
      <c r="GSE18" s="582"/>
      <c r="GSF18" s="582"/>
      <c r="GSG18" s="582"/>
      <c r="GSH18" s="582"/>
      <c r="GSI18" s="582"/>
      <c r="GSJ18" s="582"/>
      <c r="GSK18" s="582"/>
      <c r="GSL18" s="582"/>
      <c r="GSM18" s="582"/>
      <c r="GSN18" s="582"/>
      <c r="GSO18" s="582"/>
      <c r="GSP18" s="582"/>
      <c r="GSQ18" s="582"/>
      <c r="GSR18" s="582"/>
      <c r="GSS18" s="582"/>
      <c r="GST18" s="582"/>
      <c r="GSU18" s="582"/>
      <c r="GSV18" s="582"/>
      <c r="GSW18" s="582"/>
      <c r="GSX18" s="582"/>
      <c r="GSY18" s="582"/>
      <c r="GSZ18" s="582"/>
      <c r="GTA18" s="582"/>
      <c r="GTB18" s="582"/>
      <c r="GTC18" s="582"/>
      <c r="GTD18" s="582"/>
      <c r="GTE18" s="582"/>
      <c r="GTF18" s="582"/>
      <c r="GTG18" s="582"/>
      <c r="GTH18" s="582"/>
      <c r="GTI18" s="582"/>
      <c r="GTJ18" s="582"/>
      <c r="GTK18" s="582"/>
      <c r="GTL18" s="582"/>
      <c r="GTM18" s="582"/>
      <c r="GTN18" s="582"/>
      <c r="GTO18" s="582"/>
      <c r="GTP18" s="582"/>
      <c r="GTQ18" s="582"/>
      <c r="GTR18" s="582"/>
      <c r="GTS18" s="582"/>
      <c r="GTT18" s="582"/>
      <c r="GTU18" s="582"/>
      <c r="GTV18" s="582"/>
      <c r="GTW18" s="582"/>
      <c r="GTX18" s="582"/>
      <c r="GTY18" s="582"/>
      <c r="GTZ18" s="582"/>
      <c r="GUA18" s="582"/>
      <c r="GUB18" s="582"/>
      <c r="GUC18" s="582"/>
    </row>
    <row r="19" spans="1:5281" ht="21.75" thickBot="1">
      <c r="A19" s="604" t="s">
        <v>795</v>
      </c>
      <c r="B19" s="604" t="s">
        <v>796</v>
      </c>
      <c r="C19" s="605" t="s">
        <v>725</v>
      </c>
      <c r="D19" s="606" t="s">
        <v>726</v>
      </c>
      <c r="E19" s="587" t="s">
        <v>718</v>
      </c>
      <c r="F19" s="607" t="s">
        <v>49</v>
      </c>
      <c r="G19" s="582"/>
      <c r="H19" s="582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582"/>
      <c r="Y19" s="582"/>
      <c r="Z19" s="582"/>
      <c r="AA19" s="582"/>
      <c r="AB19" s="582"/>
      <c r="AC19" s="582"/>
      <c r="AD19" s="582"/>
      <c r="AE19" s="582"/>
      <c r="AF19" s="582"/>
      <c r="AG19" s="582"/>
      <c r="AH19" s="582"/>
      <c r="AI19" s="582"/>
      <c r="AJ19" s="582"/>
      <c r="AK19" s="582"/>
      <c r="AL19" s="582"/>
      <c r="AM19" s="582"/>
      <c r="AN19" s="582"/>
      <c r="AO19" s="582"/>
      <c r="AP19" s="582"/>
      <c r="AQ19" s="582"/>
      <c r="AR19" s="582"/>
      <c r="AS19" s="582"/>
      <c r="AT19" s="582"/>
      <c r="AU19" s="582"/>
      <c r="AV19" s="582"/>
      <c r="AW19" s="582"/>
      <c r="AX19" s="582"/>
      <c r="AY19" s="582"/>
      <c r="AZ19" s="582"/>
      <c r="BA19" s="582"/>
      <c r="BB19" s="582"/>
      <c r="BC19" s="582"/>
      <c r="BD19" s="582"/>
      <c r="BE19" s="582"/>
      <c r="BF19" s="582"/>
      <c r="BG19" s="582"/>
      <c r="BH19" s="582"/>
      <c r="BI19" s="582"/>
      <c r="BJ19" s="582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582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582"/>
      <c r="CG19" s="582"/>
      <c r="CH19" s="582"/>
      <c r="CI19" s="582"/>
      <c r="CJ19" s="582"/>
      <c r="CK19" s="582"/>
      <c r="CL19" s="582"/>
      <c r="CM19" s="582"/>
      <c r="CN19" s="582"/>
      <c r="CO19" s="582"/>
      <c r="CP19" s="582"/>
      <c r="CQ19" s="582"/>
      <c r="CR19" s="582"/>
      <c r="CS19" s="582"/>
      <c r="CT19" s="582"/>
      <c r="CU19" s="582"/>
      <c r="CV19" s="582"/>
      <c r="CW19" s="582"/>
      <c r="CX19" s="582"/>
      <c r="CY19" s="582"/>
      <c r="CZ19" s="582"/>
      <c r="DA19" s="582"/>
      <c r="DB19" s="582"/>
      <c r="DC19" s="582"/>
      <c r="DD19" s="582"/>
      <c r="DE19" s="582"/>
      <c r="DF19" s="582"/>
      <c r="DG19" s="582"/>
      <c r="DH19" s="582"/>
      <c r="DI19" s="582"/>
      <c r="DJ19" s="582"/>
      <c r="DK19" s="582"/>
      <c r="DL19" s="582"/>
      <c r="DM19" s="582"/>
      <c r="DN19" s="582"/>
      <c r="DO19" s="582"/>
      <c r="DP19" s="582"/>
      <c r="DQ19" s="582"/>
      <c r="DR19" s="582"/>
      <c r="DS19" s="582"/>
      <c r="DT19" s="582"/>
      <c r="DU19" s="582"/>
      <c r="DV19" s="582"/>
      <c r="DW19" s="582"/>
      <c r="DX19" s="582"/>
      <c r="DY19" s="582"/>
      <c r="DZ19" s="582"/>
      <c r="EA19" s="582"/>
      <c r="EB19" s="582"/>
      <c r="EC19" s="582"/>
      <c r="ED19" s="582"/>
      <c r="EE19" s="582"/>
      <c r="EF19" s="582"/>
      <c r="EG19" s="582"/>
      <c r="EH19" s="582"/>
      <c r="EI19" s="582"/>
      <c r="EJ19" s="582"/>
      <c r="EK19" s="582"/>
      <c r="EL19" s="582"/>
      <c r="EM19" s="582"/>
      <c r="EN19" s="582"/>
      <c r="EO19" s="582"/>
      <c r="EP19" s="582"/>
      <c r="EQ19" s="582"/>
      <c r="ER19" s="582"/>
      <c r="ES19" s="582"/>
      <c r="ET19" s="582"/>
      <c r="EU19" s="582"/>
      <c r="EV19" s="582"/>
      <c r="EW19" s="582"/>
      <c r="EX19" s="582"/>
      <c r="EY19" s="582"/>
      <c r="EZ19" s="582"/>
      <c r="FA19" s="582"/>
      <c r="FB19" s="582"/>
      <c r="FC19" s="582"/>
      <c r="FD19" s="582"/>
      <c r="FE19" s="582"/>
      <c r="FF19" s="582"/>
      <c r="FG19" s="582"/>
      <c r="FH19" s="582"/>
      <c r="FI19" s="582"/>
      <c r="FJ19" s="582"/>
      <c r="FK19" s="582"/>
      <c r="FL19" s="582"/>
      <c r="FM19" s="582"/>
      <c r="FN19" s="582"/>
      <c r="FO19" s="582"/>
      <c r="FP19" s="582"/>
      <c r="FQ19" s="582"/>
      <c r="FR19" s="582"/>
      <c r="FS19" s="582"/>
      <c r="FT19" s="582"/>
      <c r="FU19" s="582"/>
      <c r="FV19" s="582"/>
      <c r="FW19" s="582"/>
      <c r="FX19" s="582"/>
      <c r="FY19" s="582"/>
      <c r="FZ19" s="582"/>
      <c r="GA19" s="582"/>
      <c r="GB19" s="582"/>
      <c r="GC19" s="582"/>
      <c r="GD19" s="582"/>
      <c r="GE19" s="582"/>
      <c r="GF19" s="582"/>
      <c r="GG19" s="582"/>
      <c r="GH19" s="582"/>
      <c r="GI19" s="582"/>
      <c r="GJ19" s="582"/>
      <c r="GK19" s="582"/>
      <c r="GL19" s="582"/>
      <c r="GM19" s="582"/>
      <c r="GN19" s="582"/>
      <c r="GO19" s="582"/>
      <c r="GP19" s="582"/>
      <c r="GQ19" s="582"/>
      <c r="GR19" s="582"/>
      <c r="GS19" s="582"/>
      <c r="GT19" s="582"/>
      <c r="GU19" s="582"/>
      <c r="GV19" s="582"/>
      <c r="GW19" s="582"/>
      <c r="GX19" s="582"/>
      <c r="GY19" s="582"/>
      <c r="GZ19" s="582"/>
      <c r="HA19" s="582"/>
      <c r="HB19" s="582"/>
      <c r="HC19" s="582"/>
      <c r="HD19" s="582"/>
      <c r="HE19" s="582"/>
      <c r="HF19" s="582"/>
      <c r="HG19" s="582"/>
      <c r="HH19" s="582"/>
      <c r="HI19" s="582"/>
      <c r="HJ19" s="582"/>
      <c r="HK19" s="582"/>
      <c r="HL19" s="582"/>
      <c r="HM19" s="582"/>
      <c r="HN19" s="582"/>
      <c r="HO19" s="582"/>
      <c r="HP19" s="582"/>
      <c r="HQ19" s="582"/>
      <c r="HR19" s="582"/>
      <c r="HS19" s="582"/>
      <c r="HT19" s="582"/>
      <c r="HU19" s="582"/>
      <c r="HV19" s="582"/>
      <c r="HW19" s="582"/>
      <c r="HX19" s="582"/>
      <c r="HY19" s="582"/>
      <c r="HZ19" s="582"/>
      <c r="IA19" s="582"/>
      <c r="IB19" s="582"/>
      <c r="IC19" s="582"/>
      <c r="ID19" s="582"/>
      <c r="IE19" s="582"/>
      <c r="IF19" s="582"/>
      <c r="IG19" s="582"/>
      <c r="IH19" s="582"/>
      <c r="II19" s="582"/>
      <c r="IJ19" s="582"/>
      <c r="IK19" s="582"/>
      <c r="IL19" s="582"/>
      <c r="IM19" s="582"/>
      <c r="IN19" s="582"/>
      <c r="IO19" s="582"/>
      <c r="IP19" s="582"/>
      <c r="IQ19" s="582"/>
      <c r="IR19" s="582"/>
      <c r="IS19" s="582"/>
      <c r="IT19" s="582"/>
      <c r="IU19" s="582"/>
      <c r="IV19" s="582"/>
      <c r="IW19" s="582"/>
      <c r="IX19" s="582"/>
      <c r="IY19" s="582"/>
      <c r="IZ19" s="582"/>
      <c r="JA19" s="582"/>
      <c r="JB19" s="582"/>
      <c r="JC19" s="582"/>
      <c r="JD19" s="582"/>
      <c r="JE19" s="582"/>
      <c r="JF19" s="582"/>
      <c r="JG19" s="582"/>
      <c r="JH19" s="582"/>
      <c r="JI19" s="582"/>
      <c r="JJ19" s="582"/>
      <c r="JK19" s="582"/>
      <c r="JL19" s="582"/>
      <c r="JM19" s="582"/>
      <c r="JN19" s="582"/>
      <c r="JO19" s="582"/>
      <c r="JP19" s="582"/>
      <c r="JQ19" s="582"/>
      <c r="JR19" s="582"/>
      <c r="JS19" s="582"/>
      <c r="JT19" s="582"/>
      <c r="JU19" s="582"/>
      <c r="JV19" s="582"/>
      <c r="JW19" s="582"/>
      <c r="JX19" s="582"/>
      <c r="JY19" s="582"/>
      <c r="JZ19" s="582"/>
      <c r="KA19" s="582"/>
      <c r="KB19" s="582"/>
      <c r="KC19" s="582"/>
      <c r="KD19" s="582"/>
      <c r="KE19" s="582"/>
      <c r="KF19" s="582"/>
      <c r="KG19" s="582"/>
      <c r="KH19" s="582"/>
      <c r="KI19" s="582"/>
      <c r="KJ19" s="582"/>
      <c r="KK19" s="582"/>
      <c r="KL19" s="582"/>
      <c r="KM19" s="582"/>
      <c r="KN19" s="582"/>
      <c r="KO19" s="582"/>
      <c r="KP19" s="582"/>
      <c r="KQ19" s="582"/>
      <c r="KR19" s="582"/>
      <c r="KS19" s="582"/>
      <c r="KT19" s="582"/>
      <c r="KU19" s="582"/>
      <c r="KV19" s="582"/>
      <c r="KW19" s="582"/>
      <c r="KX19" s="582"/>
      <c r="KY19" s="582"/>
      <c r="KZ19" s="582"/>
      <c r="LA19" s="582"/>
      <c r="LB19" s="582"/>
      <c r="LC19" s="582"/>
      <c r="LD19" s="582"/>
      <c r="LE19" s="582"/>
      <c r="LF19" s="582"/>
      <c r="LG19" s="582"/>
      <c r="LH19" s="582"/>
      <c r="LI19" s="582"/>
      <c r="LJ19" s="582"/>
      <c r="LK19" s="582"/>
      <c r="LL19" s="582"/>
      <c r="LM19" s="582"/>
      <c r="LN19" s="582"/>
      <c r="LO19" s="582"/>
      <c r="LP19" s="582"/>
      <c r="LQ19" s="582"/>
      <c r="LR19" s="582"/>
      <c r="LS19" s="582"/>
      <c r="LT19" s="582"/>
      <c r="LU19" s="582"/>
      <c r="LV19" s="582"/>
      <c r="LW19" s="582"/>
      <c r="LX19" s="582"/>
      <c r="LY19" s="582"/>
      <c r="LZ19" s="582"/>
      <c r="MA19" s="582"/>
      <c r="MB19" s="582"/>
      <c r="MC19" s="582"/>
      <c r="MD19" s="582"/>
      <c r="ME19" s="582"/>
      <c r="MF19" s="582"/>
      <c r="MG19" s="582"/>
      <c r="MH19" s="582"/>
      <c r="MI19" s="582"/>
      <c r="MJ19" s="582"/>
      <c r="MK19" s="582"/>
      <c r="ML19" s="582"/>
      <c r="MM19" s="582"/>
      <c r="MN19" s="582"/>
      <c r="MO19" s="582"/>
      <c r="MP19" s="582"/>
      <c r="MQ19" s="582"/>
      <c r="MR19" s="582"/>
      <c r="MS19" s="582"/>
      <c r="MT19" s="582"/>
      <c r="MU19" s="582"/>
      <c r="MV19" s="582"/>
      <c r="MW19" s="582"/>
      <c r="MX19" s="582"/>
      <c r="MY19" s="582"/>
      <c r="MZ19" s="582"/>
      <c r="NA19" s="582"/>
      <c r="NB19" s="582"/>
      <c r="NC19" s="582"/>
      <c r="ND19" s="582"/>
      <c r="NE19" s="582"/>
      <c r="NF19" s="582"/>
      <c r="NG19" s="582"/>
      <c r="NH19" s="582"/>
      <c r="NI19" s="582"/>
      <c r="NJ19" s="582"/>
      <c r="NK19" s="582"/>
      <c r="NL19" s="582"/>
      <c r="NM19" s="582"/>
      <c r="NN19" s="582"/>
      <c r="NO19" s="582"/>
      <c r="NP19" s="582"/>
      <c r="NQ19" s="582"/>
      <c r="NR19" s="582"/>
      <c r="NS19" s="582"/>
      <c r="NT19" s="582"/>
      <c r="NU19" s="582"/>
      <c r="NV19" s="582"/>
      <c r="NW19" s="582"/>
      <c r="NX19" s="582"/>
      <c r="NY19" s="582"/>
      <c r="NZ19" s="582"/>
      <c r="OA19" s="582"/>
      <c r="OB19" s="582"/>
      <c r="OC19" s="582"/>
      <c r="OD19" s="582"/>
      <c r="OE19" s="582"/>
      <c r="OF19" s="582"/>
      <c r="OG19" s="582"/>
      <c r="OH19" s="582"/>
      <c r="OI19" s="582"/>
      <c r="OJ19" s="582"/>
      <c r="OK19" s="582"/>
      <c r="OL19" s="582"/>
      <c r="OM19" s="582"/>
      <c r="ON19" s="582"/>
      <c r="OO19" s="582"/>
      <c r="OP19" s="582"/>
      <c r="OQ19" s="582"/>
      <c r="OR19" s="582"/>
      <c r="OS19" s="582"/>
      <c r="OT19" s="582"/>
      <c r="OU19" s="582"/>
      <c r="OV19" s="582"/>
      <c r="OW19" s="582"/>
      <c r="OX19" s="582"/>
      <c r="OY19" s="582"/>
      <c r="OZ19" s="582"/>
      <c r="PA19" s="582"/>
      <c r="PB19" s="582"/>
      <c r="PC19" s="582"/>
      <c r="PD19" s="582"/>
      <c r="PE19" s="582"/>
      <c r="PF19" s="582"/>
      <c r="PG19" s="582"/>
      <c r="PH19" s="582"/>
      <c r="PI19" s="582"/>
      <c r="PJ19" s="582"/>
      <c r="PK19" s="582"/>
      <c r="PL19" s="582"/>
      <c r="PM19" s="582"/>
      <c r="PN19" s="582"/>
      <c r="PO19" s="582"/>
      <c r="PP19" s="582"/>
      <c r="PQ19" s="582"/>
      <c r="PR19" s="582"/>
      <c r="PS19" s="582"/>
      <c r="PT19" s="582"/>
      <c r="PU19" s="582"/>
      <c r="PV19" s="582"/>
      <c r="PW19" s="582"/>
      <c r="PX19" s="582"/>
      <c r="PY19" s="582"/>
      <c r="PZ19" s="582"/>
      <c r="QA19" s="582"/>
      <c r="QB19" s="582"/>
      <c r="QC19" s="582"/>
      <c r="QD19" s="582"/>
      <c r="QE19" s="582"/>
      <c r="QF19" s="582"/>
      <c r="QG19" s="582"/>
      <c r="QH19" s="582"/>
      <c r="QI19" s="582"/>
      <c r="QJ19" s="582"/>
      <c r="QK19" s="582"/>
      <c r="QL19" s="582"/>
      <c r="QM19" s="582"/>
      <c r="QN19" s="582"/>
      <c r="QO19" s="582"/>
      <c r="QP19" s="582"/>
      <c r="QQ19" s="582"/>
      <c r="QR19" s="582"/>
      <c r="QS19" s="582"/>
      <c r="QT19" s="582"/>
      <c r="QU19" s="582"/>
      <c r="QV19" s="582"/>
      <c r="QW19" s="582"/>
      <c r="QX19" s="582"/>
      <c r="QY19" s="582"/>
      <c r="QZ19" s="582"/>
      <c r="RA19" s="582"/>
      <c r="RB19" s="582"/>
      <c r="RC19" s="582"/>
      <c r="RD19" s="582"/>
      <c r="RE19" s="582"/>
      <c r="RF19" s="582"/>
      <c r="RG19" s="582"/>
      <c r="RH19" s="582"/>
      <c r="RI19" s="582"/>
      <c r="RJ19" s="582"/>
      <c r="RK19" s="582"/>
      <c r="RL19" s="582"/>
      <c r="RM19" s="582"/>
      <c r="RN19" s="582"/>
      <c r="RO19" s="582"/>
      <c r="RP19" s="582"/>
      <c r="RQ19" s="582"/>
      <c r="RR19" s="582"/>
      <c r="RS19" s="582"/>
      <c r="RT19" s="582"/>
      <c r="RU19" s="582"/>
      <c r="RV19" s="582"/>
      <c r="RW19" s="582"/>
      <c r="RX19" s="582"/>
      <c r="RY19" s="582"/>
      <c r="RZ19" s="582"/>
      <c r="SA19" s="582"/>
      <c r="SB19" s="582"/>
      <c r="SC19" s="582"/>
      <c r="SD19" s="582"/>
      <c r="SE19" s="582"/>
      <c r="SF19" s="582"/>
      <c r="SG19" s="582"/>
      <c r="SH19" s="582"/>
      <c r="SI19" s="582"/>
      <c r="SJ19" s="582"/>
      <c r="SK19" s="582"/>
      <c r="SL19" s="582"/>
      <c r="SM19" s="582"/>
      <c r="SN19" s="582"/>
      <c r="SO19" s="582"/>
      <c r="SP19" s="582"/>
      <c r="SQ19" s="582"/>
      <c r="SR19" s="582"/>
      <c r="SS19" s="582"/>
      <c r="ST19" s="582"/>
      <c r="SU19" s="582"/>
      <c r="SV19" s="582"/>
      <c r="SW19" s="582"/>
      <c r="SX19" s="582"/>
      <c r="SY19" s="582"/>
      <c r="SZ19" s="582"/>
      <c r="TA19" s="582"/>
      <c r="TB19" s="582"/>
      <c r="TC19" s="582"/>
      <c r="TD19" s="582"/>
      <c r="TE19" s="582"/>
      <c r="TF19" s="582"/>
      <c r="TG19" s="582"/>
      <c r="TH19" s="582"/>
      <c r="TI19" s="582"/>
      <c r="TJ19" s="582"/>
      <c r="TK19" s="582"/>
      <c r="TL19" s="582"/>
      <c r="TM19" s="582"/>
      <c r="TN19" s="582"/>
      <c r="TO19" s="582"/>
      <c r="TP19" s="582"/>
      <c r="TQ19" s="582"/>
      <c r="TR19" s="582"/>
      <c r="TS19" s="582"/>
      <c r="TT19" s="582"/>
      <c r="TU19" s="582"/>
      <c r="TV19" s="582"/>
      <c r="TW19" s="582"/>
      <c r="TX19" s="582"/>
      <c r="TY19" s="582"/>
      <c r="TZ19" s="582"/>
      <c r="UA19" s="582"/>
      <c r="UB19" s="582"/>
      <c r="UC19" s="582"/>
      <c r="UD19" s="582"/>
      <c r="UE19" s="582"/>
      <c r="UF19" s="582"/>
      <c r="UG19" s="582"/>
      <c r="UH19" s="582"/>
      <c r="UI19" s="582"/>
      <c r="UJ19" s="582"/>
      <c r="UK19" s="582"/>
      <c r="UL19" s="582"/>
      <c r="UM19" s="582"/>
      <c r="UN19" s="582"/>
      <c r="UO19" s="582"/>
      <c r="UP19" s="582"/>
      <c r="UQ19" s="582"/>
      <c r="UR19" s="582"/>
      <c r="US19" s="582"/>
      <c r="UT19" s="582"/>
      <c r="UU19" s="582"/>
      <c r="UV19" s="582"/>
      <c r="UW19" s="582"/>
      <c r="UX19" s="582"/>
      <c r="UY19" s="582"/>
      <c r="UZ19" s="582"/>
      <c r="VA19" s="582"/>
      <c r="VB19" s="582"/>
      <c r="VC19" s="582"/>
      <c r="VD19" s="582"/>
      <c r="VE19" s="582"/>
      <c r="VF19" s="582"/>
      <c r="VG19" s="582"/>
      <c r="VH19" s="582"/>
      <c r="VI19" s="582"/>
      <c r="VJ19" s="582"/>
      <c r="VK19" s="582"/>
      <c r="VL19" s="582"/>
      <c r="VM19" s="582"/>
      <c r="VN19" s="582"/>
      <c r="VO19" s="582"/>
      <c r="VP19" s="582"/>
      <c r="VQ19" s="582"/>
      <c r="VR19" s="582"/>
      <c r="VS19" s="582"/>
      <c r="VT19" s="582"/>
      <c r="VU19" s="582"/>
      <c r="VV19" s="582"/>
      <c r="VW19" s="582"/>
      <c r="VX19" s="582"/>
      <c r="VY19" s="582"/>
      <c r="VZ19" s="582"/>
      <c r="WA19" s="582"/>
      <c r="WB19" s="582"/>
      <c r="WC19" s="582"/>
      <c r="WD19" s="582"/>
      <c r="WE19" s="582"/>
      <c r="WF19" s="582"/>
      <c r="WG19" s="582"/>
      <c r="WH19" s="582"/>
      <c r="WI19" s="582"/>
      <c r="WJ19" s="582"/>
      <c r="WK19" s="582"/>
      <c r="WL19" s="582"/>
      <c r="WM19" s="582"/>
      <c r="WN19" s="582"/>
      <c r="WO19" s="582"/>
      <c r="WP19" s="582"/>
      <c r="WQ19" s="582"/>
      <c r="WR19" s="582"/>
      <c r="WS19" s="582"/>
      <c r="WT19" s="582"/>
      <c r="WU19" s="582"/>
      <c r="WV19" s="582"/>
      <c r="WW19" s="582"/>
      <c r="WX19" s="582"/>
      <c r="WY19" s="582"/>
      <c r="WZ19" s="582"/>
      <c r="XA19" s="582"/>
      <c r="XB19" s="582"/>
      <c r="XC19" s="582"/>
      <c r="XD19" s="582"/>
      <c r="XE19" s="582"/>
      <c r="XF19" s="582"/>
      <c r="XG19" s="582"/>
      <c r="XH19" s="582"/>
      <c r="XI19" s="582"/>
      <c r="XJ19" s="582"/>
      <c r="XK19" s="582"/>
      <c r="XL19" s="582"/>
      <c r="XM19" s="582"/>
      <c r="XN19" s="582"/>
      <c r="XO19" s="582"/>
      <c r="XP19" s="582"/>
      <c r="XQ19" s="582"/>
      <c r="XR19" s="582"/>
      <c r="XS19" s="582"/>
      <c r="XT19" s="582"/>
      <c r="XU19" s="582"/>
      <c r="XV19" s="582"/>
      <c r="XW19" s="582"/>
      <c r="XX19" s="582"/>
      <c r="XY19" s="582"/>
      <c r="XZ19" s="582"/>
      <c r="YA19" s="582"/>
      <c r="YB19" s="582"/>
      <c r="YC19" s="582"/>
      <c r="YD19" s="582"/>
      <c r="YE19" s="582"/>
      <c r="YF19" s="582"/>
      <c r="YG19" s="582"/>
      <c r="YH19" s="582"/>
      <c r="YI19" s="582"/>
      <c r="YJ19" s="582"/>
      <c r="YK19" s="582"/>
      <c r="YL19" s="582"/>
      <c r="YM19" s="582"/>
      <c r="YN19" s="582"/>
      <c r="YO19" s="582"/>
      <c r="YP19" s="582"/>
      <c r="YQ19" s="582"/>
      <c r="YR19" s="582"/>
      <c r="YS19" s="582"/>
      <c r="YT19" s="582"/>
      <c r="YU19" s="582"/>
      <c r="YV19" s="582"/>
      <c r="YW19" s="582"/>
      <c r="YX19" s="582"/>
      <c r="YY19" s="582"/>
      <c r="YZ19" s="582"/>
      <c r="ZA19" s="582"/>
      <c r="ZB19" s="582"/>
      <c r="ZC19" s="582"/>
      <c r="ZD19" s="582"/>
      <c r="ZE19" s="582"/>
      <c r="ZF19" s="582"/>
      <c r="ZG19" s="582"/>
      <c r="ZH19" s="582"/>
      <c r="ZI19" s="582"/>
      <c r="ZJ19" s="582"/>
      <c r="ZK19" s="582"/>
      <c r="ZL19" s="582"/>
      <c r="ZM19" s="582"/>
      <c r="ZN19" s="582"/>
      <c r="ZO19" s="582"/>
      <c r="ZP19" s="582"/>
      <c r="ZQ19" s="582"/>
      <c r="ZR19" s="582"/>
      <c r="ZS19" s="582"/>
      <c r="ZT19" s="582"/>
      <c r="ZU19" s="582"/>
      <c r="ZV19" s="582"/>
      <c r="ZW19" s="582"/>
      <c r="ZX19" s="582"/>
      <c r="ZY19" s="582"/>
      <c r="ZZ19" s="582"/>
      <c r="AAA19" s="582"/>
      <c r="AAB19" s="582"/>
      <c r="AAC19" s="582"/>
      <c r="AAD19" s="582"/>
      <c r="AAE19" s="582"/>
      <c r="AAF19" s="582"/>
      <c r="AAG19" s="582"/>
      <c r="AAH19" s="582"/>
      <c r="AAI19" s="582"/>
      <c r="AAJ19" s="582"/>
      <c r="AAK19" s="582"/>
      <c r="AAL19" s="582"/>
      <c r="AAM19" s="582"/>
      <c r="AAN19" s="582"/>
      <c r="AAO19" s="582"/>
      <c r="AAP19" s="582"/>
      <c r="AAQ19" s="582"/>
      <c r="AAR19" s="582"/>
      <c r="AAS19" s="582"/>
      <c r="AAT19" s="582"/>
      <c r="AAU19" s="582"/>
      <c r="AAV19" s="582"/>
      <c r="AAW19" s="582"/>
      <c r="AAX19" s="582"/>
      <c r="AAY19" s="582"/>
      <c r="AAZ19" s="582"/>
      <c r="ABA19" s="582"/>
      <c r="ABB19" s="582"/>
      <c r="ABC19" s="582"/>
      <c r="ABD19" s="582"/>
      <c r="ABE19" s="582"/>
      <c r="ABF19" s="582"/>
      <c r="ABG19" s="582"/>
      <c r="ABH19" s="582"/>
      <c r="ABI19" s="582"/>
      <c r="ABJ19" s="582"/>
      <c r="ABK19" s="582"/>
      <c r="ABL19" s="582"/>
      <c r="ABM19" s="582"/>
      <c r="ABN19" s="582"/>
      <c r="ABO19" s="582"/>
      <c r="ABP19" s="582"/>
      <c r="ABQ19" s="582"/>
      <c r="ABR19" s="582"/>
      <c r="ABS19" s="582"/>
      <c r="ABT19" s="582"/>
      <c r="ABU19" s="582"/>
      <c r="ABV19" s="582"/>
      <c r="ABW19" s="582"/>
      <c r="ABX19" s="582"/>
      <c r="ABY19" s="582"/>
      <c r="ABZ19" s="582"/>
      <c r="ACA19" s="582"/>
      <c r="ACB19" s="582"/>
      <c r="ACC19" s="582"/>
      <c r="ACD19" s="582"/>
      <c r="ACE19" s="582"/>
      <c r="ACF19" s="582"/>
      <c r="ACG19" s="582"/>
      <c r="ACH19" s="582"/>
      <c r="ACI19" s="582"/>
      <c r="ACJ19" s="582"/>
      <c r="ACK19" s="582"/>
      <c r="ACL19" s="582"/>
      <c r="ACM19" s="582"/>
      <c r="ACN19" s="582"/>
      <c r="ACO19" s="582"/>
      <c r="ACP19" s="582"/>
      <c r="ACQ19" s="582"/>
      <c r="ACR19" s="582"/>
      <c r="ACS19" s="582"/>
      <c r="ACT19" s="582"/>
      <c r="ACU19" s="582"/>
      <c r="ACV19" s="582"/>
      <c r="ACW19" s="582"/>
      <c r="ACX19" s="582"/>
      <c r="ACY19" s="582"/>
      <c r="ACZ19" s="582"/>
      <c r="ADA19" s="582"/>
      <c r="ADB19" s="582"/>
      <c r="ADC19" s="582"/>
      <c r="ADD19" s="582"/>
      <c r="ADE19" s="582"/>
      <c r="ADF19" s="582"/>
      <c r="ADG19" s="582"/>
      <c r="ADH19" s="582"/>
      <c r="ADI19" s="582"/>
      <c r="ADJ19" s="582"/>
      <c r="ADK19" s="582"/>
      <c r="ADL19" s="582"/>
      <c r="ADM19" s="582"/>
      <c r="ADN19" s="582"/>
      <c r="ADO19" s="582"/>
      <c r="ADP19" s="582"/>
      <c r="ADQ19" s="582"/>
      <c r="ADR19" s="582"/>
      <c r="ADS19" s="582"/>
      <c r="ADT19" s="582"/>
      <c r="ADU19" s="582"/>
      <c r="ADV19" s="582"/>
      <c r="ADW19" s="582"/>
      <c r="ADX19" s="582"/>
      <c r="ADY19" s="582"/>
      <c r="ADZ19" s="582"/>
      <c r="AEA19" s="582"/>
      <c r="AEB19" s="582"/>
      <c r="AEC19" s="582"/>
      <c r="AED19" s="582"/>
      <c r="AEE19" s="582"/>
      <c r="AEF19" s="582"/>
      <c r="AEG19" s="582"/>
      <c r="AEH19" s="582"/>
      <c r="AEI19" s="582"/>
      <c r="AEJ19" s="582"/>
      <c r="AEK19" s="582"/>
      <c r="AEL19" s="582"/>
      <c r="AEM19" s="582"/>
      <c r="AEN19" s="582"/>
      <c r="AEO19" s="582"/>
      <c r="AEP19" s="582"/>
      <c r="AEQ19" s="582"/>
      <c r="AER19" s="582"/>
      <c r="AES19" s="582"/>
      <c r="AET19" s="582"/>
      <c r="AEU19" s="582"/>
      <c r="AEV19" s="582"/>
      <c r="AEW19" s="582"/>
      <c r="AEX19" s="582"/>
      <c r="AEY19" s="582"/>
      <c r="AEZ19" s="582"/>
      <c r="AFA19" s="582"/>
      <c r="AFB19" s="582"/>
      <c r="AFC19" s="582"/>
      <c r="AFD19" s="582"/>
      <c r="AFE19" s="582"/>
      <c r="AFF19" s="582"/>
      <c r="AFG19" s="582"/>
      <c r="AFH19" s="582"/>
      <c r="AFI19" s="582"/>
      <c r="AFJ19" s="582"/>
      <c r="AFK19" s="582"/>
      <c r="AFL19" s="582"/>
      <c r="AFM19" s="582"/>
      <c r="AFN19" s="582"/>
      <c r="AFO19" s="582"/>
      <c r="AFP19" s="582"/>
      <c r="AFQ19" s="582"/>
      <c r="AFR19" s="582"/>
      <c r="AFS19" s="582"/>
      <c r="AFT19" s="582"/>
      <c r="AFU19" s="582"/>
      <c r="AFV19" s="582"/>
      <c r="AFW19" s="582"/>
      <c r="AFX19" s="582"/>
      <c r="AFY19" s="582"/>
      <c r="AFZ19" s="582"/>
      <c r="AGA19" s="582"/>
      <c r="AGB19" s="582"/>
      <c r="AGC19" s="582"/>
      <c r="AGD19" s="582"/>
      <c r="AGE19" s="582"/>
      <c r="AGF19" s="582"/>
      <c r="AGG19" s="582"/>
      <c r="AGH19" s="582"/>
      <c r="AGI19" s="582"/>
      <c r="AGJ19" s="582"/>
      <c r="AGK19" s="582"/>
      <c r="AGL19" s="582"/>
      <c r="AGM19" s="582"/>
      <c r="AGN19" s="582"/>
      <c r="AGO19" s="582"/>
      <c r="AGP19" s="582"/>
      <c r="AGQ19" s="582"/>
      <c r="AGR19" s="582"/>
      <c r="AGS19" s="582"/>
      <c r="AGT19" s="582"/>
      <c r="AGU19" s="582"/>
      <c r="AGV19" s="582"/>
      <c r="AGW19" s="582"/>
      <c r="AGX19" s="582"/>
      <c r="AGY19" s="582"/>
      <c r="AGZ19" s="582"/>
      <c r="AHA19" s="582"/>
      <c r="AHB19" s="582"/>
      <c r="AHC19" s="582"/>
      <c r="AHD19" s="582"/>
      <c r="AHE19" s="582"/>
      <c r="AHF19" s="582"/>
      <c r="AHG19" s="582"/>
      <c r="AHH19" s="582"/>
      <c r="AHI19" s="582"/>
      <c r="AHJ19" s="582"/>
      <c r="AHK19" s="582"/>
      <c r="AHL19" s="582"/>
      <c r="AHM19" s="582"/>
      <c r="AHN19" s="582"/>
      <c r="AHO19" s="582"/>
      <c r="AHP19" s="582"/>
      <c r="AHQ19" s="582"/>
      <c r="AHR19" s="582"/>
      <c r="AHS19" s="582"/>
      <c r="AHT19" s="582"/>
      <c r="AHU19" s="582"/>
      <c r="AHV19" s="582"/>
      <c r="AHW19" s="582"/>
      <c r="AHX19" s="582"/>
      <c r="AHY19" s="582"/>
      <c r="AHZ19" s="582"/>
      <c r="AIA19" s="582"/>
      <c r="AIB19" s="582"/>
      <c r="AIC19" s="582"/>
      <c r="AID19" s="582"/>
      <c r="AIE19" s="582"/>
      <c r="AIF19" s="582"/>
      <c r="AIG19" s="582"/>
      <c r="AIH19" s="582"/>
      <c r="AII19" s="582"/>
      <c r="AIJ19" s="582"/>
      <c r="AIK19" s="582"/>
      <c r="AIL19" s="582"/>
      <c r="AIM19" s="582"/>
      <c r="AIN19" s="582"/>
      <c r="AIO19" s="582"/>
      <c r="AIP19" s="582"/>
      <c r="AIQ19" s="582"/>
      <c r="AIR19" s="582"/>
      <c r="AIS19" s="582"/>
      <c r="AIT19" s="582"/>
      <c r="AIU19" s="582"/>
      <c r="AIV19" s="582"/>
      <c r="AIW19" s="582"/>
      <c r="AIX19" s="582"/>
      <c r="AIY19" s="582"/>
      <c r="AIZ19" s="582"/>
      <c r="AJA19" s="582"/>
      <c r="AJB19" s="582"/>
      <c r="AJC19" s="582"/>
      <c r="AJD19" s="582"/>
      <c r="AJE19" s="582"/>
      <c r="AJF19" s="582"/>
      <c r="AJG19" s="582"/>
      <c r="AJH19" s="582"/>
      <c r="AJI19" s="582"/>
      <c r="AJJ19" s="582"/>
      <c r="AJK19" s="582"/>
      <c r="AJL19" s="582"/>
      <c r="AJM19" s="582"/>
      <c r="AJN19" s="582"/>
      <c r="AJO19" s="582"/>
      <c r="AJP19" s="582"/>
      <c r="AJQ19" s="582"/>
      <c r="AJR19" s="582"/>
      <c r="AJS19" s="582"/>
      <c r="AJT19" s="582"/>
      <c r="AJU19" s="582"/>
      <c r="AJV19" s="582"/>
      <c r="AJW19" s="582"/>
      <c r="AJX19" s="582"/>
      <c r="AJY19" s="582"/>
      <c r="AJZ19" s="582"/>
      <c r="AKA19" s="582"/>
      <c r="AKB19" s="582"/>
      <c r="AKC19" s="582"/>
      <c r="AKD19" s="582"/>
      <c r="AKE19" s="582"/>
      <c r="AKF19" s="582"/>
      <c r="AKG19" s="582"/>
      <c r="AKH19" s="582"/>
      <c r="AKI19" s="582"/>
      <c r="AKJ19" s="582"/>
      <c r="AKK19" s="582"/>
      <c r="AKL19" s="582"/>
      <c r="AKM19" s="582"/>
      <c r="AKN19" s="582"/>
      <c r="AKO19" s="582"/>
      <c r="AKP19" s="582"/>
      <c r="AKQ19" s="582"/>
      <c r="AKR19" s="582"/>
      <c r="AKS19" s="582"/>
      <c r="AKT19" s="582"/>
      <c r="AKU19" s="582"/>
      <c r="AKV19" s="582"/>
      <c r="AKW19" s="582"/>
      <c r="AKX19" s="582"/>
      <c r="AKY19" s="582"/>
      <c r="AKZ19" s="582"/>
      <c r="ALA19" s="582"/>
      <c r="ALB19" s="582"/>
      <c r="ALC19" s="582"/>
      <c r="ALD19" s="582"/>
      <c r="ALE19" s="582"/>
      <c r="ALF19" s="582"/>
      <c r="ALG19" s="582"/>
      <c r="ALH19" s="582"/>
      <c r="ALI19" s="582"/>
      <c r="ALJ19" s="582"/>
      <c r="ALK19" s="582"/>
      <c r="ALL19" s="582"/>
      <c r="ALM19" s="582"/>
      <c r="ALN19" s="582"/>
      <c r="ALO19" s="582"/>
      <c r="ALP19" s="582"/>
      <c r="ALQ19" s="582"/>
      <c r="ALR19" s="582"/>
      <c r="ALS19" s="582"/>
      <c r="ALT19" s="582"/>
      <c r="ALU19" s="582"/>
      <c r="ALV19" s="582"/>
      <c r="ALW19" s="582"/>
      <c r="ALX19" s="582"/>
      <c r="ALY19" s="582"/>
      <c r="ALZ19" s="582"/>
      <c r="AMA19" s="582"/>
      <c r="AMB19" s="582"/>
      <c r="AMC19" s="582"/>
      <c r="AMD19" s="582"/>
      <c r="AME19" s="582"/>
      <c r="AMF19" s="582"/>
      <c r="AMG19" s="582"/>
      <c r="AMH19" s="582"/>
      <c r="AMI19" s="582"/>
      <c r="AMJ19" s="582"/>
      <c r="AMK19" s="582"/>
      <c r="AML19" s="582"/>
      <c r="AMM19" s="582"/>
      <c r="AMN19" s="582"/>
      <c r="AMO19" s="582"/>
      <c r="AMP19" s="582"/>
      <c r="AMQ19" s="582"/>
      <c r="AMR19" s="582"/>
      <c r="AMS19" s="582"/>
      <c r="AMT19" s="582"/>
      <c r="AMU19" s="582"/>
      <c r="AMV19" s="582"/>
      <c r="AMW19" s="582"/>
      <c r="AMX19" s="582"/>
      <c r="AMY19" s="582"/>
      <c r="AMZ19" s="582"/>
      <c r="ANA19" s="582"/>
      <c r="ANB19" s="582"/>
      <c r="ANC19" s="582"/>
      <c r="AND19" s="582"/>
      <c r="ANE19" s="582"/>
      <c r="ANF19" s="582"/>
      <c r="ANG19" s="582"/>
      <c r="ANH19" s="582"/>
      <c r="ANI19" s="582"/>
      <c r="ANJ19" s="582"/>
      <c r="ANK19" s="582"/>
      <c r="ANL19" s="582"/>
      <c r="ANM19" s="582"/>
      <c r="ANN19" s="582"/>
      <c r="ANO19" s="582"/>
      <c r="ANP19" s="582"/>
      <c r="ANQ19" s="582"/>
      <c r="ANR19" s="582"/>
      <c r="ANS19" s="582"/>
      <c r="ANT19" s="582"/>
      <c r="ANU19" s="582"/>
      <c r="ANV19" s="582"/>
      <c r="ANW19" s="582"/>
      <c r="ANX19" s="582"/>
      <c r="ANY19" s="582"/>
      <c r="ANZ19" s="582"/>
      <c r="AOA19" s="582"/>
      <c r="AOB19" s="582"/>
      <c r="AOC19" s="582"/>
      <c r="AOD19" s="582"/>
      <c r="AOE19" s="582"/>
      <c r="AOF19" s="582"/>
      <c r="AOG19" s="582"/>
      <c r="AOH19" s="582"/>
      <c r="AOI19" s="582"/>
      <c r="AOJ19" s="582"/>
      <c r="AOK19" s="582"/>
      <c r="AOL19" s="582"/>
      <c r="AOM19" s="582"/>
      <c r="AON19" s="582"/>
      <c r="AOO19" s="582"/>
      <c r="AOP19" s="582"/>
      <c r="AOQ19" s="582"/>
      <c r="AOR19" s="582"/>
      <c r="AOS19" s="582"/>
      <c r="AOT19" s="582"/>
      <c r="AOU19" s="582"/>
      <c r="AOV19" s="582"/>
      <c r="AOW19" s="582"/>
      <c r="AOX19" s="582"/>
      <c r="AOY19" s="582"/>
      <c r="AOZ19" s="582"/>
      <c r="APA19" s="582"/>
      <c r="APB19" s="582"/>
      <c r="APC19" s="582"/>
      <c r="APD19" s="582"/>
      <c r="APE19" s="582"/>
      <c r="APF19" s="582"/>
      <c r="APG19" s="582"/>
      <c r="APH19" s="582"/>
      <c r="API19" s="582"/>
      <c r="APJ19" s="582"/>
      <c r="APK19" s="582"/>
      <c r="APL19" s="582"/>
      <c r="APM19" s="582"/>
      <c r="APN19" s="582"/>
      <c r="APO19" s="582"/>
      <c r="APP19" s="582"/>
      <c r="APQ19" s="582"/>
      <c r="APR19" s="582"/>
      <c r="APS19" s="582"/>
      <c r="APT19" s="582"/>
      <c r="APU19" s="582"/>
      <c r="APV19" s="582"/>
      <c r="APW19" s="582"/>
      <c r="APX19" s="582"/>
      <c r="APY19" s="582"/>
      <c r="APZ19" s="582"/>
      <c r="AQA19" s="582"/>
      <c r="AQB19" s="582"/>
      <c r="AQC19" s="582"/>
      <c r="AQD19" s="582"/>
      <c r="AQE19" s="582"/>
      <c r="AQF19" s="582"/>
      <c r="AQG19" s="582"/>
      <c r="AQH19" s="582"/>
      <c r="AQI19" s="582"/>
      <c r="AQJ19" s="582"/>
      <c r="AQK19" s="582"/>
      <c r="AQL19" s="582"/>
      <c r="AQM19" s="582"/>
      <c r="AQN19" s="582"/>
      <c r="AQO19" s="582"/>
      <c r="AQP19" s="582"/>
      <c r="AQQ19" s="582"/>
      <c r="AQR19" s="582"/>
      <c r="AQS19" s="582"/>
      <c r="AQT19" s="582"/>
      <c r="AQU19" s="582"/>
      <c r="AQV19" s="582"/>
      <c r="AQW19" s="582"/>
      <c r="AQX19" s="582"/>
      <c r="AQY19" s="582"/>
      <c r="AQZ19" s="582"/>
      <c r="ARA19" s="582"/>
      <c r="ARB19" s="582"/>
      <c r="ARC19" s="582"/>
      <c r="ARD19" s="582"/>
      <c r="ARE19" s="582"/>
      <c r="ARF19" s="582"/>
      <c r="ARG19" s="582"/>
      <c r="ARH19" s="582"/>
      <c r="ARI19" s="582"/>
      <c r="ARJ19" s="582"/>
      <c r="ARK19" s="582"/>
      <c r="ARL19" s="582"/>
      <c r="ARM19" s="582"/>
      <c r="ARN19" s="582"/>
      <c r="ARO19" s="582"/>
      <c r="ARP19" s="582"/>
      <c r="ARQ19" s="582"/>
      <c r="ARR19" s="582"/>
      <c r="ARS19" s="582"/>
      <c r="ART19" s="582"/>
      <c r="ARU19" s="582"/>
      <c r="ARV19" s="582"/>
      <c r="ARW19" s="582"/>
      <c r="ARX19" s="582"/>
      <c r="ARY19" s="582"/>
      <c r="ARZ19" s="582"/>
      <c r="ASA19" s="582"/>
      <c r="ASB19" s="582"/>
      <c r="ASC19" s="582"/>
      <c r="ASD19" s="582"/>
      <c r="ASE19" s="582"/>
      <c r="ASF19" s="582"/>
      <c r="ASG19" s="582"/>
      <c r="ASH19" s="582"/>
      <c r="ASI19" s="582"/>
      <c r="ASJ19" s="582"/>
      <c r="ASK19" s="582"/>
      <c r="ASL19" s="582"/>
      <c r="ASM19" s="582"/>
      <c r="ASN19" s="582"/>
      <c r="ASO19" s="582"/>
      <c r="ASP19" s="582"/>
      <c r="ASQ19" s="582"/>
      <c r="ASR19" s="582"/>
      <c r="ASS19" s="582"/>
      <c r="AST19" s="582"/>
      <c r="ASU19" s="582"/>
      <c r="ASV19" s="582"/>
      <c r="ASW19" s="582"/>
      <c r="ASX19" s="582"/>
      <c r="ASY19" s="582"/>
      <c r="ASZ19" s="582"/>
      <c r="ATA19" s="582"/>
      <c r="ATB19" s="582"/>
      <c r="ATC19" s="582"/>
      <c r="ATD19" s="582"/>
      <c r="ATE19" s="582"/>
      <c r="ATF19" s="582"/>
      <c r="ATG19" s="582"/>
      <c r="ATH19" s="582"/>
      <c r="ATI19" s="582"/>
      <c r="ATJ19" s="582"/>
      <c r="ATK19" s="582"/>
      <c r="ATL19" s="582"/>
      <c r="ATM19" s="582"/>
      <c r="ATN19" s="582"/>
      <c r="ATO19" s="582"/>
      <c r="ATP19" s="582"/>
      <c r="ATQ19" s="582"/>
      <c r="ATR19" s="582"/>
      <c r="ATS19" s="582"/>
      <c r="ATT19" s="582"/>
      <c r="ATU19" s="582"/>
      <c r="ATV19" s="582"/>
      <c r="ATW19" s="582"/>
      <c r="ATX19" s="582"/>
      <c r="ATY19" s="582"/>
      <c r="ATZ19" s="582"/>
      <c r="AUA19" s="582"/>
      <c r="AUB19" s="582"/>
      <c r="AUC19" s="582"/>
      <c r="AUD19" s="582"/>
      <c r="AUE19" s="582"/>
      <c r="AUF19" s="582"/>
      <c r="AUG19" s="582"/>
      <c r="AUH19" s="582"/>
      <c r="AUI19" s="582"/>
      <c r="AUJ19" s="582"/>
      <c r="AUK19" s="582"/>
      <c r="AUL19" s="582"/>
      <c r="AUM19" s="582"/>
      <c r="AUN19" s="582"/>
      <c r="AUO19" s="582"/>
      <c r="AUP19" s="582"/>
      <c r="AUQ19" s="582"/>
      <c r="AUR19" s="582"/>
      <c r="AUS19" s="582"/>
      <c r="AUT19" s="582"/>
      <c r="AUU19" s="582"/>
      <c r="AUV19" s="582"/>
      <c r="AUW19" s="582"/>
      <c r="AUX19" s="582"/>
      <c r="AUY19" s="582"/>
      <c r="AUZ19" s="582"/>
      <c r="AVA19" s="582"/>
      <c r="AVB19" s="582"/>
      <c r="AVC19" s="582"/>
      <c r="AVD19" s="582"/>
      <c r="AVE19" s="582"/>
      <c r="AVF19" s="582"/>
      <c r="AVG19" s="582"/>
      <c r="AVH19" s="582"/>
      <c r="AVI19" s="582"/>
      <c r="AVJ19" s="582"/>
      <c r="AVK19" s="582"/>
      <c r="AVL19" s="582"/>
      <c r="AVM19" s="582"/>
      <c r="AVN19" s="582"/>
      <c r="AVO19" s="582"/>
      <c r="AVP19" s="582"/>
      <c r="AVQ19" s="582"/>
      <c r="AVR19" s="582"/>
      <c r="AVS19" s="582"/>
      <c r="AVT19" s="582"/>
      <c r="AVU19" s="582"/>
      <c r="AVV19" s="582"/>
      <c r="AVW19" s="582"/>
      <c r="AVX19" s="582"/>
      <c r="AVY19" s="582"/>
      <c r="AVZ19" s="582"/>
      <c r="AWA19" s="582"/>
      <c r="AWB19" s="582"/>
      <c r="AWC19" s="582"/>
      <c r="AWD19" s="582"/>
      <c r="AWE19" s="582"/>
      <c r="AWF19" s="582"/>
      <c r="AWG19" s="582"/>
      <c r="AWH19" s="582"/>
      <c r="AWI19" s="582"/>
      <c r="AWJ19" s="582"/>
      <c r="AWK19" s="582"/>
      <c r="AWL19" s="582"/>
      <c r="AWM19" s="582"/>
      <c r="AWN19" s="582"/>
      <c r="AWO19" s="582"/>
      <c r="AWP19" s="582"/>
      <c r="AWQ19" s="582"/>
      <c r="AWR19" s="582"/>
      <c r="AWS19" s="582"/>
      <c r="AWT19" s="582"/>
      <c r="AWU19" s="582"/>
      <c r="AWV19" s="582"/>
      <c r="AWW19" s="582"/>
      <c r="AWX19" s="582"/>
      <c r="AWY19" s="582"/>
      <c r="AWZ19" s="582"/>
      <c r="AXA19" s="582"/>
      <c r="AXB19" s="582"/>
      <c r="AXC19" s="582"/>
      <c r="AXD19" s="582"/>
      <c r="AXE19" s="582"/>
      <c r="AXF19" s="582"/>
      <c r="AXG19" s="582"/>
      <c r="AXH19" s="582"/>
      <c r="AXI19" s="582"/>
      <c r="AXJ19" s="582"/>
      <c r="AXK19" s="582"/>
      <c r="AXL19" s="582"/>
      <c r="AXM19" s="582"/>
      <c r="AXN19" s="582"/>
      <c r="AXO19" s="582"/>
      <c r="AXP19" s="582"/>
      <c r="AXQ19" s="582"/>
      <c r="AXR19" s="582"/>
      <c r="AXS19" s="582"/>
      <c r="AXT19" s="582"/>
      <c r="AXU19" s="582"/>
      <c r="AXV19" s="582"/>
      <c r="AXW19" s="582"/>
      <c r="AXX19" s="582"/>
      <c r="AXY19" s="582"/>
      <c r="AXZ19" s="582"/>
      <c r="AYA19" s="582"/>
      <c r="AYB19" s="582"/>
      <c r="AYC19" s="582"/>
      <c r="AYD19" s="582"/>
      <c r="AYE19" s="582"/>
      <c r="AYF19" s="582"/>
      <c r="AYG19" s="582"/>
      <c r="AYH19" s="582"/>
      <c r="AYI19" s="582"/>
      <c r="AYJ19" s="582"/>
      <c r="AYK19" s="582"/>
      <c r="AYL19" s="582"/>
      <c r="AYM19" s="582"/>
      <c r="AYN19" s="582"/>
      <c r="AYO19" s="582"/>
      <c r="AYP19" s="582"/>
      <c r="AYQ19" s="582"/>
      <c r="AYR19" s="582"/>
      <c r="AYS19" s="582"/>
      <c r="AYT19" s="582"/>
      <c r="AYU19" s="582"/>
      <c r="AYV19" s="582"/>
      <c r="AYW19" s="582"/>
      <c r="AYX19" s="582"/>
      <c r="AYY19" s="582"/>
      <c r="AYZ19" s="582"/>
      <c r="AZA19" s="582"/>
      <c r="AZB19" s="582"/>
      <c r="AZC19" s="582"/>
      <c r="AZD19" s="582"/>
      <c r="AZE19" s="582"/>
      <c r="AZF19" s="582"/>
      <c r="AZG19" s="582"/>
      <c r="AZH19" s="582"/>
      <c r="AZI19" s="582"/>
      <c r="AZJ19" s="582"/>
      <c r="AZK19" s="582"/>
      <c r="AZL19" s="582"/>
      <c r="AZM19" s="582"/>
      <c r="AZN19" s="582"/>
      <c r="AZO19" s="582"/>
      <c r="AZP19" s="582"/>
      <c r="AZQ19" s="582"/>
      <c r="AZR19" s="582"/>
      <c r="AZS19" s="582"/>
      <c r="AZT19" s="582"/>
      <c r="AZU19" s="582"/>
      <c r="AZV19" s="582"/>
      <c r="AZW19" s="582"/>
      <c r="AZX19" s="582"/>
      <c r="AZY19" s="582"/>
      <c r="AZZ19" s="582"/>
      <c r="BAA19" s="582"/>
      <c r="BAB19" s="582"/>
      <c r="BAC19" s="582"/>
      <c r="BAD19" s="582"/>
      <c r="BAE19" s="582"/>
      <c r="BAF19" s="582"/>
      <c r="BAG19" s="582"/>
      <c r="BAH19" s="582"/>
      <c r="BAI19" s="582"/>
      <c r="BAJ19" s="582"/>
      <c r="BAK19" s="582"/>
      <c r="BAL19" s="582"/>
      <c r="BAM19" s="582"/>
      <c r="BAN19" s="582"/>
      <c r="BAO19" s="582"/>
      <c r="BAP19" s="582"/>
      <c r="BAQ19" s="582"/>
      <c r="BAR19" s="582"/>
      <c r="BAS19" s="582"/>
      <c r="BAT19" s="582"/>
      <c r="BAU19" s="582"/>
      <c r="BAV19" s="582"/>
      <c r="BAW19" s="582"/>
      <c r="BAX19" s="582"/>
      <c r="BAY19" s="582"/>
      <c r="BAZ19" s="582"/>
      <c r="BBA19" s="582"/>
      <c r="BBB19" s="582"/>
      <c r="BBC19" s="582"/>
      <c r="BBD19" s="582"/>
      <c r="BBE19" s="582"/>
      <c r="BBF19" s="582"/>
      <c r="BBG19" s="582"/>
      <c r="BBH19" s="582"/>
      <c r="BBI19" s="582"/>
      <c r="BBJ19" s="582"/>
      <c r="BBK19" s="582"/>
      <c r="BBL19" s="582"/>
      <c r="BBM19" s="582"/>
      <c r="BBN19" s="582"/>
      <c r="BBO19" s="582"/>
      <c r="BBP19" s="582"/>
      <c r="BBQ19" s="582"/>
      <c r="BBR19" s="582"/>
      <c r="BBS19" s="582"/>
      <c r="BBT19" s="582"/>
      <c r="BBU19" s="582"/>
      <c r="BBV19" s="582"/>
      <c r="BBW19" s="582"/>
      <c r="BBX19" s="582"/>
      <c r="BBY19" s="582"/>
      <c r="BBZ19" s="582"/>
      <c r="BCA19" s="582"/>
      <c r="BCB19" s="582"/>
      <c r="BCC19" s="582"/>
      <c r="BCD19" s="582"/>
      <c r="BCE19" s="582"/>
      <c r="BCF19" s="582"/>
      <c r="BCG19" s="582"/>
      <c r="BCH19" s="582"/>
      <c r="BCI19" s="582"/>
      <c r="BCJ19" s="582"/>
      <c r="BCK19" s="582"/>
      <c r="BCL19" s="582"/>
      <c r="BCM19" s="582"/>
      <c r="BCN19" s="582"/>
      <c r="BCO19" s="582"/>
      <c r="BCP19" s="582"/>
      <c r="BCQ19" s="582"/>
      <c r="BCR19" s="582"/>
      <c r="BCS19" s="582"/>
      <c r="BCT19" s="582"/>
      <c r="BCU19" s="582"/>
      <c r="BCV19" s="582"/>
      <c r="BCW19" s="582"/>
      <c r="BCX19" s="582"/>
      <c r="BCY19" s="582"/>
      <c r="BCZ19" s="582"/>
      <c r="BDA19" s="582"/>
      <c r="BDB19" s="582"/>
      <c r="BDC19" s="582"/>
      <c r="BDD19" s="582"/>
      <c r="BDE19" s="582"/>
      <c r="BDF19" s="582"/>
      <c r="BDG19" s="582"/>
      <c r="BDH19" s="582"/>
      <c r="BDI19" s="582"/>
      <c r="BDJ19" s="582"/>
      <c r="BDK19" s="582"/>
      <c r="BDL19" s="582"/>
      <c r="BDM19" s="582"/>
      <c r="BDN19" s="582"/>
      <c r="BDO19" s="582"/>
      <c r="BDP19" s="582"/>
      <c r="BDQ19" s="582"/>
      <c r="BDR19" s="582"/>
      <c r="BDS19" s="582"/>
      <c r="BDT19" s="582"/>
      <c r="BDU19" s="582"/>
      <c r="BDV19" s="582"/>
      <c r="BDW19" s="582"/>
      <c r="BDX19" s="582"/>
      <c r="BDY19" s="582"/>
      <c r="BDZ19" s="582"/>
      <c r="BEA19" s="582"/>
      <c r="BEB19" s="582"/>
      <c r="BEC19" s="582"/>
      <c r="BED19" s="582"/>
      <c r="BEE19" s="582"/>
      <c r="BEF19" s="582"/>
      <c r="BEG19" s="582"/>
      <c r="BEH19" s="582"/>
      <c r="BEI19" s="582"/>
      <c r="BEJ19" s="582"/>
      <c r="BEK19" s="582"/>
      <c r="BEL19" s="582"/>
      <c r="BEM19" s="582"/>
      <c r="BEN19" s="582"/>
      <c r="BEO19" s="582"/>
      <c r="BEP19" s="582"/>
      <c r="BEQ19" s="582"/>
      <c r="BER19" s="582"/>
      <c r="BES19" s="582"/>
      <c r="BET19" s="582"/>
      <c r="BEU19" s="582"/>
      <c r="BEV19" s="582"/>
      <c r="BEW19" s="582"/>
      <c r="BEX19" s="582"/>
      <c r="BEY19" s="582"/>
      <c r="BEZ19" s="582"/>
      <c r="BFA19" s="582"/>
      <c r="BFB19" s="582"/>
      <c r="BFC19" s="582"/>
      <c r="BFD19" s="582"/>
      <c r="BFE19" s="582"/>
      <c r="BFF19" s="582"/>
      <c r="BFG19" s="582"/>
      <c r="BFH19" s="582"/>
      <c r="BFI19" s="582"/>
      <c r="BFJ19" s="582"/>
      <c r="BFK19" s="582"/>
      <c r="BFL19" s="582"/>
      <c r="BFM19" s="582"/>
      <c r="BFN19" s="582"/>
      <c r="BFO19" s="582"/>
      <c r="BFP19" s="582"/>
      <c r="BFQ19" s="582"/>
      <c r="BFR19" s="582"/>
      <c r="BFS19" s="582"/>
      <c r="BFT19" s="582"/>
      <c r="BFU19" s="582"/>
      <c r="BFV19" s="582"/>
      <c r="BFW19" s="582"/>
      <c r="BFX19" s="582"/>
      <c r="BFY19" s="582"/>
      <c r="BFZ19" s="582"/>
      <c r="BGA19" s="582"/>
      <c r="BGB19" s="582"/>
      <c r="BGC19" s="582"/>
      <c r="BGD19" s="582"/>
      <c r="BGE19" s="582"/>
      <c r="BGF19" s="582"/>
      <c r="BGG19" s="582"/>
      <c r="BGH19" s="582"/>
      <c r="BGI19" s="582"/>
      <c r="BGJ19" s="582"/>
      <c r="BGK19" s="582"/>
      <c r="BGL19" s="582"/>
      <c r="BGM19" s="582"/>
      <c r="BGN19" s="582"/>
      <c r="BGO19" s="582"/>
      <c r="BGP19" s="582"/>
      <c r="BGQ19" s="582"/>
      <c r="BGR19" s="582"/>
      <c r="BGS19" s="582"/>
      <c r="BGT19" s="582"/>
      <c r="BGU19" s="582"/>
      <c r="BGV19" s="582"/>
      <c r="BGW19" s="582"/>
      <c r="BGX19" s="582"/>
      <c r="BGY19" s="582"/>
      <c r="BGZ19" s="582"/>
      <c r="BHA19" s="582"/>
      <c r="BHB19" s="582"/>
      <c r="BHC19" s="582"/>
      <c r="BHD19" s="582"/>
      <c r="BHE19" s="582"/>
      <c r="BHF19" s="582"/>
      <c r="BHG19" s="582"/>
      <c r="BHH19" s="582"/>
      <c r="BHI19" s="582"/>
      <c r="BHJ19" s="582"/>
      <c r="BHK19" s="582"/>
      <c r="BHL19" s="582"/>
      <c r="BHM19" s="582"/>
      <c r="BHN19" s="582"/>
      <c r="BHO19" s="582"/>
      <c r="BHP19" s="582"/>
      <c r="BHQ19" s="582"/>
      <c r="BHR19" s="582"/>
      <c r="BHS19" s="582"/>
      <c r="BHT19" s="582"/>
      <c r="BHU19" s="582"/>
      <c r="BHV19" s="582"/>
      <c r="BHW19" s="582"/>
      <c r="BHX19" s="582"/>
      <c r="BHY19" s="582"/>
      <c r="BHZ19" s="582"/>
      <c r="BIA19" s="582"/>
      <c r="BIB19" s="582"/>
      <c r="BIC19" s="582"/>
      <c r="BID19" s="582"/>
      <c r="BIE19" s="582"/>
      <c r="BIF19" s="582"/>
      <c r="BIG19" s="582"/>
      <c r="BIH19" s="582"/>
      <c r="BII19" s="582"/>
      <c r="BIJ19" s="582"/>
      <c r="BIK19" s="582"/>
      <c r="BIL19" s="582"/>
      <c r="BIM19" s="582"/>
      <c r="BIN19" s="582"/>
      <c r="BIO19" s="582"/>
      <c r="BIP19" s="582"/>
      <c r="BIQ19" s="582"/>
      <c r="BIR19" s="582"/>
      <c r="BIS19" s="582"/>
      <c r="BIT19" s="582"/>
      <c r="BIU19" s="582"/>
      <c r="BIV19" s="582"/>
      <c r="BIW19" s="582"/>
      <c r="BIX19" s="582"/>
      <c r="BIY19" s="582"/>
      <c r="BIZ19" s="582"/>
      <c r="BJA19" s="582"/>
      <c r="BJB19" s="582"/>
      <c r="BJC19" s="582"/>
      <c r="BJD19" s="582"/>
      <c r="BJE19" s="582"/>
      <c r="BJF19" s="582"/>
      <c r="BJG19" s="582"/>
      <c r="BJH19" s="582"/>
      <c r="BJI19" s="582"/>
      <c r="BJJ19" s="582"/>
      <c r="BJK19" s="582"/>
      <c r="BJL19" s="582"/>
      <c r="BJM19" s="582"/>
      <c r="BJN19" s="582"/>
      <c r="BJO19" s="582"/>
      <c r="BJP19" s="582"/>
      <c r="BJQ19" s="582"/>
      <c r="BJR19" s="582"/>
      <c r="BJS19" s="582"/>
      <c r="BJT19" s="582"/>
      <c r="BJU19" s="582"/>
      <c r="BJV19" s="582"/>
      <c r="BJW19" s="582"/>
      <c r="BJX19" s="582"/>
      <c r="BJY19" s="582"/>
      <c r="BJZ19" s="582"/>
      <c r="BKA19" s="582"/>
      <c r="BKB19" s="582"/>
      <c r="BKC19" s="582"/>
      <c r="BKD19" s="582"/>
      <c r="BKE19" s="582"/>
      <c r="BKF19" s="582"/>
      <c r="BKG19" s="582"/>
      <c r="BKH19" s="582"/>
      <c r="BKI19" s="582"/>
      <c r="BKJ19" s="582"/>
      <c r="BKK19" s="582"/>
      <c r="BKL19" s="582"/>
      <c r="BKM19" s="582"/>
      <c r="BKN19" s="582"/>
      <c r="BKO19" s="582"/>
      <c r="BKP19" s="582"/>
      <c r="BKQ19" s="582"/>
      <c r="BKR19" s="582"/>
      <c r="BKS19" s="582"/>
      <c r="BKT19" s="582"/>
      <c r="BKU19" s="582"/>
      <c r="BKV19" s="582"/>
      <c r="BKW19" s="582"/>
      <c r="BKX19" s="582"/>
      <c r="BKY19" s="582"/>
      <c r="BKZ19" s="582"/>
      <c r="BLA19" s="582"/>
      <c r="BLB19" s="582"/>
      <c r="BLC19" s="582"/>
      <c r="BLD19" s="582"/>
      <c r="BLE19" s="582"/>
      <c r="BLF19" s="582"/>
      <c r="BLG19" s="582"/>
      <c r="BLH19" s="582"/>
      <c r="BLI19" s="582"/>
      <c r="BLJ19" s="582"/>
      <c r="BLK19" s="582"/>
      <c r="BLL19" s="582"/>
      <c r="BLM19" s="582"/>
      <c r="BLN19" s="582"/>
      <c r="BLO19" s="582"/>
      <c r="BLP19" s="582"/>
      <c r="BLQ19" s="582"/>
      <c r="BLR19" s="582"/>
      <c r="BLS19" s="582"/>
      <c r="BLT19" s="582"/>
      <c r="BLU19" s="582"/>
      <c r="BLV19" s="582"/>
      <c r="BLW19" s="582"/>
      <c r="BLX19" s="582"/>
      <c r="BLY19" s="582"/>
      <c r="BLZ19" s="582"/>
      <c r="BMA19" s="582"/>
      <c r="BMB19" s="582"/>
      <c r="BMC19" s="582"/>
      <c r="BMD19" s="582"/>
      <c r="BME19" s="582"/>
      <c r="BMF19" s="582"/>
      <c r="BMG19" s="582"/>
      <c r="BMH19" s="582"/>
      <c r="BMI19" s="582"/>
      <c r="BMJ19" s="582"/>
      <c r="BMK19" s="582"/>
      <c r="BML19" s="582"/>
      <c r="BMM19" s="582"/>
      <c r="BMN19" s="582"/>
      <c r="BMO19" s="582"/>
      <c r="BMP19" s="582"/>
      <c r="BMQ19" s="582"/>
      <c r="BMR19" s="582"/>
      <c r="BMS19" s="582"/>
      <c r="BMT19" s="582"/>
      <c r="BMU19" s="582"/>
      <c r="BMV19" s="582"/>
      <c r="BMW19" s="582"/>
      <c r="BMX19" s="582"/>
      <c r="BMY19" s="582"/>
      <c r="BMZ19" s="582"/>
      <c r="BNA19" s="582"/>
      <c r="BNB19" s="582"/>
      <c r="BNC19" s="582"/>
      <c r="BND19" s="582"/>
      <c r="BNE19" s="582"/>
      <c r="BNF19" s="582"/>
      <c r="BNG19" s="582"/>
      <c r="BNH19" s="582"/>
      <c r="BNI19" s="582"/>
      <c r="BNJ19" s="582"/>
      <c r="BNK19" s="582"/>
      <c r="BNL19" s="582"/>
      <c r="BNM19" s="582"/>
      <c r="BNN19" s="582"/>
      <c r="BNO19" s="582"/>
      <c r="BNP19" s="582"/>
      <c r="BNQ19" s="582"/>
      <c r="BNR19" s="582"/>
      <c r="BNS19" s="582"/>
      <c r="BNT19" s="582"/>
      <c r="BNU19" s="582"/>
      <c r="BNV19" s="582"/>
      <c r="BNW19" s="582"/>
      <c r="BNX19" s="582"/>
      <c r="BNY19" s="582"/>
      <c r="BNZ19" s="582"/>
      <c r="BOA19" s="582"/>
      <c r="BOB19" s="582"/>
      <c r="BOC19" s="582"/>
      <c r="BOD19" s="582"/>
      <c r="BOE19" s="582"/>
      <c r="BOF19" s="582"/>
      <c r="BOG19" s="582"/>
      <c r="BOH19" s="582"/>
      <c r="BOI19" s="582"/>
      <c r="BOJ19" s="582"/>
      <c r="BOK19" s="582"/>
      <c r="BOL19" s="582"/>
      <c r="BOM19" s="582"/>
      <c r="BON19" s="582"/>
      <c r="BOO19" s="582"/>
      <c r="BOP19" s="582"/>
      <c r="BOQ19" s="582"/>
      <c r="BOR19" s="582"/>
      <c r="BOS19" s="582"/>
      <c r="BOT19" s="582"/>
      <c r="BOU19" s="582"/>
      <c r="BOV19" s="582"/>
      <c r="BOW19" s="582"/>
      <c r="BOX19" s="582"/>
      <c r="BOY19" s="582"/>
      <c r="BOZ19" s="582"/>
      <c r="BPA19" s="582"/>
      <c r="BPB19" s="582"/>
      <c r="BPC19" s="582"/>
      <c r="BPD19" s="582"/>
      <c r="BPE19" s="582"/>
      <c r="BPF19" s="582"/>
      <c r="BPG19" s="582"/>
      <c r="BPH19" s="582"/>
      <c r="BPI19" s="582"/>
      <c r="BPJ19" s="582"/>
      <c r="BPK19" s="582"/>
      <c r="BPL19" s="582"/>
      <c r="BPM19" s="582"/>
      <c r="BPN19" s="582"/>
      <c r="BPO19" s="582"/>
      <c r="BPP19" s="582"/>
      <c r="BPQ19" s="582"/>
      <c r="BPR19" s="582"/>
      <c r="BPS19" s="582"/>
      <c r="BPT19" s="582"/>
      <c r="BPU19" s="582"/>
      <c r="BPV19" s="582"/>
      <c r="BPW19" s="582"/>
      <c r="BPX19" s="582"/>
      <c r="BPY19" s="582"/>
      <c r="BPZ19" s="582"/>
      <c r="BQA19" s="582"/>
      <c r="BQB19" s="582"/>
      <c r="BQC19" s="582"/>
      <c r="BQD19" s="582"/>
      <c r="BQE19" s="582"/>
      <c r="BQF19" s="582"/>
      <c r="BQG19" s="582"/>
      <c r="BQH19" s="582"/>
      <c r="BQI19" s="582"/>
      <c r="BQJ19" s="582"/>
      <c r="BQK19" s="582"/>
      <c r="BQL19" s="582"/>
      <c r="BQM19" s="582"/>
      <c r="BQN19" s="582"/>
      <c r="BQO19" s="582"/>
      <c r="BQP19" s="582"/>
      <c r="BQQ19" s="582"/>
      <c r="BQR19" s="582"/>
      <c r="BQS19" s="582"/>
      <c r="BQT19" s="582"/>
      <c r="BQU19" s="582"/>
      <c r="BQV19" s="582"/>
      <c r="BQW19" s="582"/>
      <c r="BQX19" s="582"/>
      <c r="BQY19" s="582"/>
      <c r="BQZ19" s="582"/>
      <c r="BRA19" s="582"/>
      <c r="BRB19" s="582"/>
      <c r="BRC19" s="582"/>
      <c r="BRD19" s="582"/>
      <c r="BRE19" s="582"/>
      <c r="BRF19" s="582"/>
      <c r="BRG19" s="582"/>
      <c r="BRH19" s="582"/>
      <c r="BRI19" s="582"/>
      <c r="BRJ19" s="582"/>
      <c r="BRK19" s="582"/>
      <c r="BRL19" s="582"/>
      <c r="BRM19" s="582"/>
      <c r="BRN19" s="582"/>
      <c r="BRO19" s="582"/>
      <c r="BRP19" s="582"/>
      <c r="BRQ19" s="582"/>
      <c r="BRR19" s="582"/>
      <c r="BRS19" s="582"/>
      <c r="BRT19" s="582"/>
      <c r="BRU19" s="582"/>
      <c r="BRV19" s="582"/>
      <c r="BRW19" s="582"/>
      <c r="BRX19" s="582"/>
      <c r="BRY19" s="582"/>
      <c r="BRZ19" s="582"/>
      <c r="BSA19" s="582"/>
      <c r="BSB19" s="582"/>
      <c r="BSC19" s="582"/>
      <c r="BSD19" s="582"/>
      <c r="BSE19" s="582"/>
      <c r="BSF19" s="582"/>
      <c r="BSG19" s="582"/>
      <c r="BSH19" s="582"/>
      <c r="BSI19" s="582"/>
      <c r="BSJ19" s="582"/>
      <c r="BSK19" s="582"/>
      <c r="BSL19" s="582"/>
      <c r="BSM19" s="582"/>
      <c r="BSN19" s="582"/>
      <c r="BSO19" s="582"/>
      <c r="BSP19" s="582"/>
      <c r="BSQ19" s="582"/>
      <c r="BSR19" s="582"/>
      <c r="BSS19" s="582"/>
      <c r="BST19" s="582"/>
      <c r="BSU19" s="582"/>
      <c r="BSV19" s="582"/>
      <c r="BSW19" s="582"/>
      <c r="BSX19" s="582"/>
      <c r="BSY19" s="582"/>
      <c r="BSZ19" s="582"/>
      <c r="BTA19" s="582"/>
      <c r="BTB19" s="582"/>
      <c r="BTC19" s="582"/>
      <c r="BTD19" s="582"/>
      <c r="BTE19" s="582"/>
      <c r="BTF19" s="582"/>
      <c r="BTG19" s="582"/>
      <c r="BTH19" s="582"/>
      <c r="BTI19" s="582"/>
      <c r="BTJ19" s="582"/>
      <c r="BTK19" s="582"/>
      <c r="BTL19" s="582"/>
      <c r="BTM19" s="582"/>
      <c r="BTN19" s="582"/>
      <c r="BTO19" s="582"/>
      <c r="BTP19" s="582"/>
      <c r="BTQ19" s="582"/>
      <c r="BTR19" s="582"/>
      <c r="BTS19" s="582"/>
      <c r="BTT19" s="582"/>
      <c r="BTU19" s="582"/>
      <c r="BTV19" s="582"/>
      <c r="BTW19" s="582"/>
      <c r="BTX19" s="582"/>
      <c r="BTY19" s="582"/>
      <c r="BTZ19" s="582"/>
      <c r="BUA19" s="582"/>
      <c r="BUB19" s="582"/>
      <c r="BUC19" s="582"/>
      <c r="BUD19" s="582"/>
      <c r="BUE19" s="582"/>
      <c r="BUF19" s="582"/>
      <c r="BUG19" s="582"/>
      <c r="BUH19" s="582"/>
      <c r="BUI19" s="582"/>
      <c r="BUJ19" s="582"/>
      <c r="BUK19" s="582"/>
      <c r="BUL19" s="582"/>
      <c r="BUM19" s="582"/>
      <c r="BUN19" s="582"/>
      <c r="BUO19" s="582"/>
      <c r="BUP19" s="582"/>
      <c r="BUQ19" s="582"/>
      <c r="BUR19" s="582"/>
      <c r="BUS19" s="582"/>
      <c r="BUT19" s="582"/>
      <c r="BUU19" s="582"/>
      <c r="BUV19" s="582"/>
      <c r="BUW19" s="582"/>
      <c r="BUX19" s="582"/>
      <c r="BUY19" s="582"/>
      <c r="BUZ19" s="582"/>
      <c r="BVA19" s="582"/>
      <c r="BVB19" s="582"/>
      <c r="BVC19" s="582"/>
      <c r="BVD19" s="582"/>
      <c r="BVE19" s="582"/>
      <c r="BVF19" s="582"/>
      <c r="BVG19" s="582"/>
      <c r="BVH19" s="582"/>
      <c r="BVI19" s="582"/>
      <c r="BVJ19" s="582"/>
      <c r="BVK19" s="582"/>
      <c r="BVL19" s="582"/>
      <c r="BVM19" s="582"/>
      <c r="BVN19" s="582"/>
      <c r="BVO19" s="582"/>
      <c r="BVP19" s="582"/>
      <c r="BVQ19" s="582"/>
      <c r="BVR19" s="582"/>
      <c r="BVS19" s="582"/>
      <c r="BVT19" s="582"/>
      <c r="BVU19" s="582"/>
      <c r="BVV19" s="582"/>
      <c r="BVW19" s="582"/>
      <c r="BVX19" s="582"/>
      <c r="BVY19" s="582"/>
      <c r="BVZ19" s="582"/>
      <c r="BWA19" s="582"/>
      <c r="BWB19" s="582"/>
      <c r="BWC19" s="582"/>
      <c r="BWD19" s="582"/>
      <c r="BWE19" s="582"/>
      <c r="BWF19" s="582"/>
      <c r="BWG19" s="582"/>
      <c r="BWH19" s="582"/>
      <c r="BWI19" s="582"/>
      <c r="BWJ19" s="582"/>
      <c r="BWK19" s="582"/>
      <c r="BWL19" s="582"/>
      <c r="BWM19" s="582"/>
      <c r="BWN19" s="582"/>
      <c r="BWO19" s="582"/>
      <c r="BWP19" s="582"/>
      <c r="BWQ19" s="582"/>
      <c r="BWR19" s="582"/>
      <c r="BWS19" s="582"/>
      <c r="BWT19" s="582"/>
      <c r="BWU19" s="582"/>
      <c r="BWV19" s="582"/>
      <c r="BWW19" s="582"/>
      <c r="BWX19" s="582"/>
      <c r="BWY19" s="582"/>
      <c r="BWZ19" s="582"/>
      <c r="BXA19" s="582"/>
      <c r="BXB19" s="582"/>
      <c r="BXC19" s="582"/>
      <c r="BXD19" s="582"/>
      <c r="BXE19" s="582"/>
      <c r="BXF19" s="582"/>
      <c r="BXG19" s="582"/>
      <c r="BXH19" s="582"/>
      <c r="BXI19" s="582"/>
      <c r="BXJ19" s="582"/>
      <c r="BXK19" s="582"/>
      <c r="BXL19" s="582"/>
      <c r="BXM19" s="582"/>
      <c r="BXN19" s="582"/>
      <c r="BXO19" s="582"/>
      <c r="BXP19" s="582"/>
      <c r="BXQ19" s="582"/>
      <c r="BXR19" s="582"/>
      <c r="BXS19" s="582"/>
      <c r="BXT19" s="582"/>
      <c r="BXU19" s="582"/>
      <c r="BXV19" s="582"/>
      <c r="BXW19" s="582"/>
      <c r="BXX19" s="582"/>
      <c r="BXY19" s="582"/>
      <c r="BXZ19" s="582"/>
      <c r="BYA19" s="582"/>
      <c r="BYB19" s="582"/>
      <c r="BYC19" s="582"/>
      <c r="BYD19" s="582"/>
      <c r="BYE19" s="582"/>
      <c r="BYF19" s="582"/>
      <c r="BYG19" s="582"/>
      <c r="BYH19" s="582"/>
      <c r="BYI19" s="582"/>
      <c r="BYJ19" s="582"/>
      <c r="BYK19" s="582"/>
      <c r="BYL19" s="582"/>
      <c r="BYM19" s="582"/>
      <c r="BYN19" s="582"/>
      <c r="BYO19" s="582"/>
      <c r="BYP19" s="582"/>
      <c r="BYQ19" s="582"/>
      <c r="BYR19" s="582"/>
      <c r="BYS19" s="582"/>
      <c r="BYT19" s="582"/>
      <c r="BYU19" s="582"/>
      <c r="BYV19" s="582"/>
      <c r="BYW19" s="582"/>
      <c r="BYX19" s="582"/>
      <c r="BYY19" s="582"/>
      <c r="BYZ19" s="582"/>
      <c r="BZA19" s="582"/>
      <c r="BZB19" s="582"/>
      <c r="BZC19" s="582"/>
      <c r="BZD19" s="582"/>
      <c r="BZE19" s="582"/>
      <c r="BZF19" s="582"/>
      <c r="BZG19" s="582"/>
      <c r="BZH19" s="582"/>
      <c r="BZI19" s="582"/>
      <c r="BZJ19" s="582"/>
      <c r="BZK19" s="582"/>
      <c r="BZL19" s="582"/>
      <c r="BZM19" s="582"/>
      <c r="BZN19" s="582"/>
      <c r="BZO19" s="582"/>
      <c r="BZP19" s="582"/>
      <c r="BZQ19" s="582"/>
      <c r="BZR19" s="582"/>
      <c r="BZS19" s="582"/>
      <c r="BZT19" s="582"/>
      <c r="BZU19" s="582"/>
      <c r="BZV19" s="582"/>
      <c r="BZW19" s="582"/>
      <c r="BZX19" s="582"/>
      <c r="BZY19" s="582"/>
      <c r="BZZ19" s="582"/>
      <c r="CAA19" s="582"/>
      <c r="CAB19" s="582"/>
      <c r="CAC19" s="582"/>
      <c r="CAD19" s="582"/>
      <c r="CAE19" s="582"/>
      <c r="CAF19" s="582"/>
      <c r="CAG19" s="582"/>
      <c r="CAH19" s="582"/>
      <c r="CAI19" s="582"/>
      <c r="CAJ19" s="582"/>
      <c r="CAK19" s="582"/>
      <c r="CAL19" s="582"/>
      <c r="CAM19" s="582"/>
      <c r="CAN19" s="582"/>
      <c r="CAO19" s="582"/>
      <c r="CAP19" s="582"/>
      <c r="CAQ19" s="582"/>
      <c r="CAR19" s="582"/>
      <c r="CAS19" s="582"/>
      <c r="CAT19" s="582"/>
      <c r="CAU19" s="582"/>
      <c r="CAV19" s="582"/>
      <c r="CAW19" s="582"/>
      <c r="CAX19" s="582"/>
      <c r="CAY19" s="582"/>
      <c r="CAZ19" s="582"/>
      <c r="CBA19" s="582"/>
      <c r="CBB19" s="582"/>
      <c r="CBC19" s="582"/>
      <c r="CBD19" s="582"/>
      <c r="CBE19" s="582"/>
      <c r="CBF19" s="582"/>
      <c r="CBG19" s="582"/>
      <c r="CBH19" s="582"/>
      <c r="CBI19" s="582"/>
      <c r="CBJ19" s="582"/>
      <c r="CBK19" s="582"/>
      <c r="CBL19" s="582"/>
      <c r="CBM19" s="582"/>
      <c r="CBN19" s="582"/>
      <c r="CBO19" s="582"/>
      <c r="CBP19" s="582"/>
      <c r="CBQ19" s="582"/>
      <c r="CBR19" s="582"/>
      <c r="CBS19" s="582"/>
      <c r="CBT19" s="582"/>
      <c r="CBU19" s="582"/>
      <c r="CBV19" s="582"/>
      <c r="CBW19" s="582"/>
      <c r="CBX19" s="582"/>
      <c r="CBY19" s="582"/>
      <c r="CBZ19" s="582"/>
      <c r="CCA19" s="582"/>
      <c r="CCB19" s="582"/>
      <c r="CCC19" s="582"/>
      <c r="CCD19" s="582"/>
      <c r="CCE19" s="582"/>
      <c r="CCF19" s="582"/>
      <c r="CCG19" s="582"/>
      <c r="CCH19" s="582"/>
      <c r="CCI19" s="582"/>
      <c r="CCJ19" s="582"/>
      <c r="CCK19" s="582"/>
      <c r="CCL19" s="582"/>
      <c r="CCM19" s="582"/>
      <c r="CCN19" s="582"/>
      <c r="CCO19" s="582"/>
      <c r="CCP19" s="582"/>
      <c r="CCQ19" s="582"/>
      <c r="CCR19" s="582"/>
      <c r="CCS19" s="582"/>
      <c r="CCT19" s="582"/>
      <c r="CCU19" s="582"/>
      <c r="CCV19" s="582"/>
      <c r="CCW19" s="582"/>
      <c r="CCX19" s="582"/>
      <c r="CCY19" s="582"/>
      <c r="CCZ19" s="582"/>
      <c r="CDA19" s="582"/>
      <c r="CDB19" s="582"/>
      <c r="CDC19" s="582"/>
      <c r="CDD19" s="582"/>
      <c r="CDE19" s="582"/>
      <c r="CDF19" s="582"/>
      <c r="CDG19" s="582"/>
      <c r="CDH19" s="582"/>
      <c r="CDI19" s="582"/>
      <c r="CDJ19" s="582"/>
      <c r="CDK19" s="582"/>
      <c r="CDL19" s="582"/>
      <c r="CDM19" s="582"/>
      <c r="CDN19" s="582"/>
      <c r="CDO19" s="582"/>
      <c r="CDP19" s="582"/>
      <c r="CDQ19" s="582"/>
      <c r="CDR19" s="582"/>
      <c r="CDS19" s="582"/>
      <c r="CDT19" s="582"/>
      <c r="CDU19" s="582"/>
      <c r="CDV19" s="582"/>
      <c r="CDW19" s="582"/>
      <c r="CDX19" s="582"/>
      <c r="CDY19" s="582"/>
      <c r="CDZ19" s="582"/>
      <c r="CEA19" s="582"/>
      <c r="CEB19" s="582"/>
      <c r="CEC19" s="582"/>
      <c r="CED19" s="582"/>
      <c r="CEE19" s="582"/>
      <c r="CEF19" s="582"/>
      <c r="CEG19" s="582"/>
      <c r="CEH19" s="582"/>
      <c r="CEI19" s="582"/>
      <c r="CEJ19" s="582"/>
      <c r="CEK19" s="582"/>
      <c r="CEL19" s="582"/>
      <c r="CEM19" s="582"/>
      <c r="CEN19" s="582"/>
      <c r="CEO19" s="582"/>
      <c r="CEP19" s="582"/>
      <c r="CEQ19" s="582"/>
      <c r="CER19" s="582"/>
      <c r="CES19" s="582"/>
      <c r="CET19" s="582"/>
      <c r="CEU19" s="582"/>
      <c r="CEV19" s="582"/>
      <c r="CEW19" s="582"/>
      <c r="CEX19" s="582"/>
      <c r="CEY19" s="582"/>
      <c r="CEZ19" s="582"/>
      <c r="CFA19" s="582"/>
      <c r="CFB19" s="582"/>
      <c r="CFC19" s="582"/>
      <c r="CFD19" s="582"/>
      <c r="CFE19" s="582"/>
      <c r="CFF19" s="582"/>
      <c r="CFG19" s="582"/>
      <c r="CFH19" s="582"/>
      <c r="CFI19" s="582"/>
      <c r="CFJ19" s="582"/>
      <c r="CFK19" s="582"/>
      <c r="CFL19" s="582"/>
      <c r="CFM19" s="582"/>
      <c r="CFN19" s="582"/>
      <c r="CFO19" s="582"/>
      <c r="CFP19" s="582"/>
      <c r="CFQ19" s="582"/>
      <c r="CFR19" s="582"/>
      <c r="CFS19" s="582"/>
      <c r="CFT19" s="582"/>
      <c r="CFU19" s="582"/>
      <c r="CFV19" s="582"/>
      <c r="CFW19" s="582"/>
      <c r="CFX19" s="582"/>
      <c r="CFY19" s="582"/>
      <c r="CFZ19" s="582"/>
      <c r="CGA19" s="582"/>
      <c r="CGB19" s="582"/>
      <c r="CGC19" s="582"/>
      <c r="CGD19" s="582"/>
      <c r="CGE19" s="582"/>
      <c r="CGF19" s="582"/>
      <c r="CGG19" s="582"/>
      <c r="CGH19" s="582"/>
      <c r="CGI19" s="582"/>
      <c r="CGJ19" s="582"/>
      <c r="CGK19" s="582"/>
      <c r="CGL19" s="582"/>
      <c r="CGM19" s="582"/>
      <c r="CGN19" s="582"/>
      <c r="CGO19" s="582"/>
      <c r="CGP19" s="582"/>
      <c r="CGQ19" s="582"/>
      <c r="CGR19" s="582"/>
      <c r="CGS19" s="582"/>
      <c r="CGT19" s="582"/>
      <c r="CGU19" s="582"/>
      <c r="CGV19" s="582"/>
      <c r="CGW19" s="582"/>
      <c r="CGX19" s="582"/>
      <c r="CGY19" s="582"/>
      <c r="CGZ19" s="582"/>
      <c r="CHA19" s="582"/>
      <c r="CHB19" s="582"/>
      <c r="CHC19" s="582"/>
      <c r="CHD19" s="582"/>
      <c r="CHE19" s="582"/>
      <c r="CHF19" s="582"/>
      <c r="CHG19" s="582"/>
      <c r="CHH19" s="582"/>
      <c r="CHI19" s="582"/>
      <c r="CHJ19" s="582"/>
      <c r="CHK19" s="582"/>
      <c r="CHL19" s="582"/>
      <c r="CHM19" s="582"/>
      <c r="CHN19" s="582"/>
      <c r="CHO19" s="582"/>
      <c r="CHP19" s="582"/>
      <c r="CHQ19" s="582"/>
      <c r="CHR19" s="582"/>
      <c r="CHS19" s="582"/>
      <c r="CHT19" s="582"/>
      <c r="CHU19" s="582"/>
      <c r="CHV19" s="582"/>
      <c r="CHW19" s="582"/>
      <c r="CHX19" s="582"/>
      <c r="CHY19" s="582"/>
      <c r="CHZ19" s="582"/>
      <c r="CIA19" s="582"/>
      <c r="CIB19" s="582"/>
      <c r="CIC19" s="582"/>
      <c r="CID19" s="582"/>
      <c r="CIE19" s="582"/>
      <c r="CIF19" s="582"/>
      <c r="CIG19" s="582"/>
      <c r="CIH19" s="582"/>
      <c r="CII19" s="582"/>
      <c r="CIJ19" s="582"/>
      <c r="CIK19" s="582"/>
      <c r="CIL19" s="582"/>
      <c r="CIM19" s="582"/>
      <c r="CIN19" s="582"/>
      <c r="CIO19" s="582"/>
      <c r="CIP19" s="582"/>
      <c r="CIQ19" s="582"/>
      <c r="CIR19" s="582"/>
      <c r="CIS19" s="582"/>
      <c r="CIT19" s="582"/>
      <c r="CIU19" s="582"/>
      <c r="CIV19" s="582"/>
      <c r="CIW19" s="582"/>
      <c r="CIX19" s="582"/>
      <c r="CIY19" s="582"/>
      <c r="CIZ19" s="582"/>
      <c r="CJA19" s="582"/>
      <c r="CJB19" s="582"/>
      <c r="CJC19" s="582"/>
      <c r="CJD19" s="582"/>
      <c r="CJE19" s="582"/>
      <c r="CJF19" s="582"/>
      <c r="CJG19" s="582"/>
      <c r="CJH19" s="582"/>
      <c r="CJI19" s="582"/>
      <c r="CJJ19" s="582"/>
      <c r="CJK19" s="582"/>
      <c r="CJL19" s="582"/>
      <c r="CJM19" s="582"/>
      <c r="CJN19" s="582"/>
      <c r="CJO19" s="582"/>
      <c r="CJP19" s="582"/>
      <c r="CJQ19" s="582"/>
      <c r="CJR19" s="582"/>
      <c r="CJS19" s="582"/>
      <c r="CJT19" s="582"/>
      <c r="CJU19" s="582"/>
      <c r="CJV19" s="582"/>
      <c r="CJW19" s="582"/>
      <c r="CJX19" s="582"/>
      <c r="CJY19" s="582"/>
      <c r="CJZ19" s="582"/>
      <c r="CKA19" s="582"/>
      <c r="CKB19" s="582"/>
      <c r="CKC19" s="582"/>
      <c r="CKD19" s="582"/>
      <c r="CKE19" s="582"/>
      <c r="CKF19" s="582"/>
      <c r="CKG19" s="582"/>
      <c r="CKH19" s="582"/>
      <c r="CKI19" s="582"/>
      <c r="CKJ19" s="582"/>
      <c r="CKK19" s="582"/>
      <c r="CKL19" s="582"/>
      <c r="CKM19" s="582"/>
      <c r="CKN19" s="582"/>
      <c r="CKO19" s="582"/>
      <c r="CKP19" s="582"/>
      <c r="CKQ19" s="582"/>
      <c r="CKR19" s="582"/>
      <c r="CKS19" s="582"/>
      <c r="CKT19" s="582"/>
      <c r="CKU19" s="582"/>
      <c r="CKV19" s="582"/>
      <c r="CKW19" s="582"/>
      <c r="CKX19" s="582"/>
      <c r="CKY19" s="582"/>
      <c r="CKZ19" s="582"/>
      <c r="CLA19" s="582"/>
      <c r="CLB19" s="582"/>
      <c r="CLC19" s="582"/>
      <c r="CLD19" s="582"/>
      <c r="CLE19" s="582"/>
      <c r="CLF19" s="582"/>
      <c r="CLG19" s="582"/>
      <c r="CLH19" s="582"/>
      <c r="CLI19" s="582"/>
      <c r="CLJ19" s="582"/>
      <c r="CLK19" s="582"/>
      <c r="CLL19" s="582"/>
      <c r="CLM19" s="582"/>
      <c r="CLN19" s="582"/>
      <c r="CLO19" s="582"/>
      <c r="CLP19" s="582"/>
      <c r="CLQ19" s="582"/>
      <c r="CLR19" s="582"/>
      <c r="CLS19" s="582"/>
      <c r="CLT19" s="582"/>
      <c r="CLU19" s="582"/>
      <c r="CLV19" s="582"/>
      <c r="CLW19" s="582"/>
      <c r="CLX19" s="582"/>
      <c r="CLY19" s="582"/>
      <c r="CLZ19" s="582"/>
      <c r="CMA19" s="582"/>
      <c r="CMB19" s="582"/>
      <c r="CMC19" s="582"/>
      <c r="CMD19" s="582"/>
      <c r="CME19" s="582"/>
      <c r="CMF19" s="582"/>
      <c r="CMG19" s="582"/>
      <c r="CMH19" s="582"/>
      <c r="CMI19" s="582"/>
      <c r="CMJ19" s="582"/>
      <c r="CMK19" s="582"/>
      <c r="CML19" s="582"/>
      <c r="CMM19" s="582"/>
      <c r="CMN19" s="582"/>
      <c r="CMO19" s="582"/>
      <c r="CMP19" s="582"/>
      <c r="CMQ19" s="582"/>
      <c r="CMR19" s="582"/>
      <c r="CMS19" s="582"/>
      <c r="CMT19" s="582"/>
      <c r="CMU19" s="582"/>
      <c r="CMV19" s="582"/>
      <c r="CMW19" s="582"/>
      <c r="CMX19" s="582"/>
      <c r="CMY19" s="582"/>
      <c r="CMZ19" s="582"/>
      <c r="CNA19" s="582"/>
      <c r="CNB19" s="582"/>
      <c r="CNC19" s="582"/>
      <c r="CND19" s="582"/>
      <c r="CNE19" s="582"/>
      <c r="CNF19" s="582"/>
      <c r="CNG19" s="582"/>
      <c r="CNH19" s="582"/>
      <c r="CNI19" s="582"/>
      <c r="CNJ19" s="582"/>
      <c r="CNK19" s="582"/>
      <c r="CNL19" s="582"/>
      <c r="CNM19" s="582"/>
      <c r="CNN19" s="582"/>
      <c r="CNO19" s="582"/>
      <c r="CNP19" s="582"/>
      <c r="CNQ19" s="582"/>
      <c r="CNR19" s="582"/>
      <c r="CNS19" s="582"/>
      <c r="CNT19" s="582"/>
      <c r="CNU19" s="582"/>
      <c r="CNV19" s="582"/>
      <c r="CNW19" s="582"/>
      <c r="CNX19" s="582"/>
      <c r="CNY19" s="582"/>
      <c r="CNZ19" s="582"/>
      <c r="COA19" s="582"/>
      <c r="COB19" s="582"/>
      <c r="COC19" s="582"/>
      <c r="COD19" s="582"/>
      <c r="COE19" s="582"/>
      <c r="COF19" s="582"/>
      <c r="COG19" s="582"/>
      <c r="COH19" s="582"/>
      <c r="COI19" s="582"/>
      <c r="COJ19" s="582"/>
      <c r="COK19" s="582"/>
      <c r="COL19" s="582"/>
      <c r="COM19" s="582"/>
      <c r="CON19" s="582"/>
      <c r="COO19" s="582"/>
      <c r="COP19" s="582"/>
      <c r="COQ19" s="582"/>
      <c r="COR19" s="582"/>
      <c r="COS19" s="582"/>
      <c r="COT19" s="582"/>
      <c r="COU19" s="582"/>
      <c r="COV19" s="582"/>
      <c r="COW19" s="582"/>
      <c r="COX19" s="582"/>
      <c r="COY19" s="582"/>
      <c r="COZ19" s="582"/>
      <c r="CPA19" s="582"/>
      <c r="CPB19" s="582"/>
      <c r="CPC19" s="582"/>
      <c r="CPD19" s="582"/>
      <c r="CPE19" s="582"/>
      <c r="CPF19" s="582"/>
      <c r="CPG19" s="582"/>
      <c r="CPH19" s="582"/>
      <c r="CPI19" s="582"/>
      <c r="CPJ19" s="582"/>
      <c r="CPK19" s="582"/>
      <c r="CPL19" s="582"/>
      <c r="CPM19" s="582"/>
      <c r="CPN19" s="582"/>
      <c r="CPO19" s="582"/>
      <c r="CPP19" s="582"/>
      <c r="CPQ19" s="582"/>
      <c r="CPR19" s="582"/>
      <c r="CPS19" s="582"/>
      <c r="CPT19" s="582"/>
      <c r="CPU19" s="582"/>
      <c r="CPV19" s="582"/>
      <c r="CPW19" s="582"/>
      <c r="CPX19" s="582"/>
      <c r="CPY19" s="582"/>
      <c r="CPZ19" s="582"/>
      <c r="CQA19" s="582"/>
      <c r="CQB19" s="582"/>
      <c r="CQC19" s="582"/>
      <c r="CQD19" s="582"/>
      <c r="CQE19" s="582"/>
      <c r="CQF19" s="582"/>
      <c r="CQG19" s="582"/>
      <c r="CQH19" s="582"/>
      <c r="CQI19" s="582"/>
      <c r="CQJ19" s="582"/>
      <c r="CQK19" s="582"/>
      <c r="CQL19" s="582"/>
      <c r="CQM19" s="582"/>
      <c r="CQN19" s="582"/>
      <c r="CQO19" s="582"/>
      <c r="CQP19" s="582"/>
      <c r="CQQ19" s="582"/>
      <c r="CQR19" s="582"/>
      <c r="CQS19" s="582"/>
      <c r="CQT19" s="582"/>
      <c r="CQU19" s="582"/>
      <c r="CQV19" s="582"/>
      <c r="CQW19" s="582"/>
      <c r="CQX19" s="582"/>
      <c r="CQY19" s="582"/>
      <c r="CQZ19" s="582"/>
      <c r="CRA19" s="582"/>
      <c r="CRB19" s="582"/>
      <c r="CRC19" s="582"/>
      <c r="CRD19" s="582"/>
      <c r="CRE19" s="582"/>
      <c r="CRF19" s="582"/>
      <c r="CRG19" s="582"/>
      <c r="CRH19" s="582"/>
      <c r="CRI19" s="582"/>
      <c r="CRJ19" s="582"/>
      <c r="CRK19" s="582"/>
      <c r="CRL19" s="582"/>
      <c r="CRM19" s="582"/>
      <c r="CRN19" s="582"/>
      <c r="CRO19" s="582"/>
      <c r="CRP19" s="582"/>
      <c r="CRQ19" s="582"/>
      <c r="CRR19" s="582"/>
      <c r="CRS19" s="582"/>
      <c r="CRT19" s="582"/>
      <c r="CRU19" s="582"/>
      <c r="CRV19" s="582"/>
      <c r="CRW19" s="582"/>
      <c r="CRX19" s="582"/>
      <c r="CRY19" s="582"/>
      <c r="CRZ19" s="582"/>
      <c r="CSA19" s="582"/>
      <c r="CSB19" s="582"/>
      <c r="CSC19" s="582"/>
      <c r="CSD19" s="582"/>
      <c r="CSE19" s="582"/>
      <c r="CSF19" s="582"/>
      <c r="CSG19" s="582"/>
      <c r="CSH19" s="582"/>
      <c r="CSI19" s="582"/>
      <c r="CSJ19" s="582"/>
      <c r="CSK19" s="582"/>
      <c r="CSL19" s="582"/>
      <c r="CSM19" s="582"/>
      <c r="CSN19" s="582"/>
      <c r="CSO19" s="582"/>
      <c r="CSP19" s="582"/>
      <c r="CSQ19" s="582"/>
      <c r="CSR19" s="582"/>
      <c r="CSS19" s="582"/>
      <c r="CST19" s="582"/>
      <c r="CSU19" s="582"/>
      <c r="CSV19" s="582"/>
      <c r="CSW19" s="582"/>
      <c r="CSX19" s="582"/>
      <c r="CSY19" s="582"/>
      <c r="CSZ19" s="582"/>
      <c r="CTA19" s="582"/>
      <c r="CTB19" s="582"/>
      <c r="CTC19" s="582"/>
      <c r="CTD19" s="582"/>
      <c r="CTE19" s="582"/>
      <c r="CTF19" s="582"/>
      <c r="CTG19" s="582"/>
      <c r="CTH19" s="582"/>
      <c r="CTI19" s="582"/>
      <c r="CTJ19" s="582"/>
      <c r="CTK19" s="582"/>
      <c r="CTL19" s="582"/>
      <c r="CTM19" s="582"/>
      <c r="CTN19" s="582"/>
      <c r="CTO19" s="582"/>
      <c r="CTP19" s="582"/>
      <c r="CTQ19" s="582"/>
      <c r="CTR19" s="582"/>
      <c r="CTS19" s="582"/>
      <c r="CTT19" s="582"/>
      <c r="CTU19" s="582"/>
      <c r="CTV19" s="582"/>
      <c r="CTW19" s="582"/>
      <c r="CTX19" s="582"/>
      <c r="CTY19" s="582"/>
      <c r="CTZ19" s="582"/>
      <c r="CUA19" s="582"/>
      <c r="CUB19" s="582"/>
      <c r="CUC19" s="582"/>
      <c r="CUD19" s="582"/>
      <c r="CUE19" s="582"/>
      <c r="CUF19" s="582"/>
      <c r="CUG19" s="582"/>
      <c r="CUH19" s="582"/>
      <c r="CUI19" s="582"/>
      <c r="CUJ19" s="582"/>
      <c r="CUK19" s="582"/>
      <c r="CUL19" s="582"/>
      <c r="CUM19" s="582"/>
      <c r="CUN19" s="582"/>
      <c r="CUO19" s="582"/>
      <c r="CUP19" s="582"/>
      <c r="CUQ19" s="582"/>
      <c r="CUR19" s="582"/>
      <c r="CUS19" s="582"/>
      <c r="CUT19" s="582"/>
      <c r="CUU19" s="582"/>
      <c r="CUV19" s="582"/>
      <c r="CUW19" s="582"/>
      <c r="CUX19" s="582"/>
      <c r="CUY19" s="582"/>
      <c r="CUZ19" s="582"/>
      <c r="CVA19" s="582"/>
      <c r="CVB19" s="582"/>
      <c r="CVC19" s="582"/>
      <c r="CVD19" s="582"/>
      <c r="CVE19" s="582"/>
      <c r="CVF19" s="582"/>
      <c r="CVG19" s="582"/>
      <c r="CVH19" s="582"/>
      <c r="CVI19" s="582"/>
      <c r="CVJ19" s="582"/>
      <c r="CVK19" s="582"/>
      <c r="CVL19" s="582"/>
      <c r="CVM19" s="582"/>
      <c r="CVN19" s="582"/>
      <c r="CVO19" s="582"/>
      <c r="CVP19" s="582"/>
      <c r="CVQ19" s="582"/>
      <c r="CVR19" s="582"/>
      <c r="CVS19" s="582"/>
      <c r="CVT19" s="582"/>
      <c r="CVU19" s="582"/>
      <c r="CVV19" s="582"/>
      <c r="CVW19" s="582"/>
      <c r="CVX19" s="582"/>
      <c r="CVY19" s="582"/>
      <c r="CVZ19" s="582"/>
      <c r="CWA19" s="582"/>
      <c r="CWB19" s="582"/>
      <c r="CWC19" s="582"/>
      <c r="CWD19" s="582"/>
      <c r="CWE19" s="582"/>
      <c r="CWF19" s="582"/>
      <c r="CWG19" s="582"/>
      <c r="CWH19" s="582"/>
      <c r="CWI19" s="582"/>
      <c r="CWJ19" s="582"/>
      <c r="CWK19" s="582"/>
      <c r="CWL19" s="582"/>
      <c r="CWM19" s="582"/>
      <c r="CWN19" s="582"/>
      <c r="CWO19" s="582"/>
      <c r="CWP19" s="582"/>
      <c r="CWQ19" s="582"/>
      <c r="CWR19" s="582"/>
      <c r="CWS19" s="582"/>
      <c r="CWT19" s="582"/>
      <c r="CWU19" s="582"/>
      <c r="CWV19" s="582"/>
      <c r="CWW19" s="582"/>
      <c r="CWX19" s="582"/>
      <c r="CWY19" s="582"/>
      <c r="CWZ19" s="582"/>
      <c r="CXA19" s="582"/>
      <c r="CXB19" s="582"/>
      <c r="CXC19" s="582"/>
      <c r="CXD19" s="582"/>
      <c r="CXE19" s="582"/>
      <c r="CXF19" s="582"/>
      <c r="CXG19" s="582"/>
      <c r="CXH19" s="582"/>
      <c r="CXI19" s="582"/>
      <c r="CXJ19" s="582"/>
      <c r="CXK19" s="582"/>
      <c r="CXL19" s="582"/>
      <c r="CXM19" s="582"/>
      <c r="CXN19" s="582"/>
      <c r="CXO19" s="582"/>
      <c r="CXP19" s="582"/>
      <c r="CXQ19" s="582"/>
      <c r="CXR19" s="582"/>
      <c r="CXS19" s="582"/>
      <c r="CXT19" s="582"/>
      <c r="CXU19" s="582"/>
      <c r="CXV19" s="582"/>
      <c r="CXW19" s="582"/>
      <c r="CXX19" s="582"/>
      <c r="CXY19" s="582"/>
      <c r="CXZ19" s="582"/>
      <c r="CYA19" s="582"/>
      <c r="CYB19" s="582"/>
      <c r="CYC19" s="582"/>
      <c r="CYD19" s="582"/>
      <c r="CYE19" s="582"/>
      <c r="CYF19" s="582"/>
      <c r="CYG19" s="582"/>
      <c r="CYH19" s="582"/>
      <c r="CYI19" s="582"/>
      <c r="CYJ19" s="582"/>
      <c r="CYK19" s="582"/>
      <c r="CYL19" s="582"/>
      <c r="CYM19" s="582"/>
      <c r="CYN19" s="582"/>
      <c r="CYO19" s="582"/>
      <c r="CYP19" s="582"/>
      <c r="CYQ19" s="582"/>
      <c r="CYR19" s="582"/>
      <c r="CYS19" s="582"/>
      <c r="CYT19" s="582"/>
      <c r="CYU19" s="582"/>
      <c r="CYV19" s="582"/>
      <c r="CYW19" s="582"/>
      <c r="CYX19" s="582"/>
      <c r="CYY19" s="582"/>
      <c r="CYZ19" s="582"/>
      <c r="CZA19" s="582"/>
      <c r="CZB19" s="582"/>
      <c r="CZC19" s="582"/>
      <c r="CZD19" s="582"/>
      <c r="CZE19" s="582"/>
      <c r="CZF19" s="582"/>
      <c r="CZG19" s="582"/>
      <c r="CZH19" s="582"/>
      <c r="CZI19" s="582"/>
      <c r="CZJ19" s="582"/>
      <c r="CZK19" s="582"/>
      <c r="CZL19" s="582"/>
      <c r="CZM19" s="582"/>
      <c r="CZN19" s="582"/>
      <c r="CZO19" s="582"/>
      <c r="CZP19" s="582"/>
      <c r="CZQ19" s="582"/>
      <c r="CZR19" s="582"/>
      <c r="CZS19" s="582"/>
      <c r="CZT19" s="582"/>
      <c r="CZU19" s="582"/>
      <c r="CZV19" s="582"/>
      <c r="CZW19" s="582"/>
      <c r="CZX19" s="582"/>
      <c r="CZY19" s="582"/>
      <c r="CZZ19" s="582"/>
      <c r="DAA19" s="582"/>
      <c r="DAB19" s="582"/>
      <c r="DAC19" s="582"/>
      <c r="DAD19" s="582"/>
      <c r="DAE19" s="582"/>
      <c r="DAF19" s="582"/>
      <c r="DAG19" s="582"/>
      <c r="DAH19" s="582"/>
      <c r="DAI19" s="582"/>
      <c r="DAJ19" s="582"/>
      <c r="DAK19" s="582"/>
      <c r="DAL19" s="582"/>
      <c r="DAM19" s="582"/>
      <c r="DAN19" s="582"/>
      <c r="DAO19" s="582"/>
      <c r="DAP19" s="582"/>
      <c r="DAQ19" s="582"/>
      <c r="DAR19" s="582"/>
      <c r="DAS19" s="582"/>
      <c r="DAT19" s="582"/>
      <c r="DAU19" s="582"/>
      <c r="DAV19" s="582"/>
      <c r="DAW19" s="582"/>
      <c r="DAX19" s="582"/>
      <c r="DAY19" s="582"/>
      <c r="DAZ19" s="582"/>
      <c r="DBA19" s="582"/>
      <c r="DBB19" s="582"/>
      <c r="DBC19" s="582"/>
      <c r="DBD19" s="582"/>
      <c r="DBE19" s="582"/>
      <c r="DBF19" s="582"/>
      <c r="DBG19" s="582"/>
      <c r="DBH19" s="582"/>
      <c r="DBI19" s="582"/>
      <c r="DBJ19" s="582"/>
      <c r="DBK19" s="582"/>
      <c r="DBL19" s="582"/>
      <c r="DBM19" s="582"/>
      <c r="DBN19" s="582"/>
      <c r="DBO19" s="582"/>
      <c r="DBP19" s="582"/>
      <c r="DBQ19" s="582"/>
      <c r="DBR19" s="582"/>
      <c r="DBS19" s="582"/>
      <c r="DBT19" s="582"/>
      <c r="DBU19" s="582"/>
      <c r="DBV19" s="582"/>
      <c r="DBW19" s="582"/>
      <c r="DBX19" s="582"/>
      <c r="DBY19" s="582"/>
      <c r="DBZ19" s="582"/>
      <c r="DCA19" s="582"/>
      <c r="DCB19" s="582"/>
      <c r="DCC19" s="582"/>
      <c r="DCD19" s="582"/>
      <c r="DCE19" s="582"/>
      <c r="DCF19" s="582"/>
      <c r="DCG19" s="582"/>
      <c r="DCH19" s="582"/>
      <c r="DCI19" s="582"/>
      <c r="DCJ19" s="582"/>
      <c r="DCK19" s="582"/>
      <c r="DCL19" s="582"/>
      <c r="DCM19" s="582"/>
      <c r="DCN19" s="582"/>
      <c r="DCO19" s="582"/>
      <c r="DCP19" s="582"/>
      <c r="DCQ19" s="582"/>
      <c r="DCR19" s="582"/>
      <c r="DCS19" s="582"/>
      <c r="DCT19" s="582"/>
      <c r="DCU19" s="582"/>
      <c r="DCV19" s="582"/>
      <c r="DCW19" s="582"/>
      <c r="DCX19" s="582"/>
      <c r="DCY19" s="582"/>
      <c r="DCZ19" s="582"/>
      <c r="DDA19" s="582"/>
      <c r="DDB19" s="582"/>
      <c r="DDC19" s="582"/>
      <c r="DDD19" s="582"/>
      <c r="DDE19" s="582"/>
      <c r="DDF19" s="582"/>
      <c r="DDG19" s="582"/>
      <c r="DDH19" s="582"/>
      <c r="DDI19" s="582"/>
      <c r="DDJ19" s="582"/>
      <c r="DDK19" s="582"/>
      <c r="DDL19" s="582"/>
      <c r="DDM19" s="582"/>
      <c r="DDN19" s="582"/>
      <c r="DDO19" s="582"/>
      <c r="DDP19" s="582"/>
      <c r="DDQ19" s="582"/>
      <c r="DDR19" s="582"/>
      <c r="DDS19" s="582"/>
      <c r="DDT19" s="582"/>
      <c r="DDU19" s="582"/>
      <c r="DDV19" s="582"/>
      <c r="DDW19" s="582"/>
      <c r="DDX19" s="582"/>
      <c r="DDY19" s="582"/>
      <c r="DDZ19" s="582"/>
      <c r="DEA19" s="582"/>
      <c r="DEB19" s="582"/>
      <c r="DEC19" s="582"/>
      <c r="DED19" s="582"/>
      <c r="DEE19" s="582"/>
      <c r="DEF19" s="582"/>
      <c r="DEG19" s="582"/>
      <c r="DEH19" s="582"/>
      <c r="DEI19" s="582"/>
      <c r="DEJ19" s="582"/>
      <c r="DEK19" s="582"/>
      <c r="DEL19" s="582"/>
      <c r="DEM19" s="582"/>
      <c r="DEN19" s="582"/>
      <c r="DEO19" s="582"/>
      <c r="DEP19" s="582"/>
      <c r="DEQ19" s="582"/>
      <c r="DER19" s="582"/>
      <c r="DES19" s="582"/>
      <c r="DET19" s="582"/>
      <c r="DEU19" s="582"/>
      <c r="DEV19" s="582"/>
      <c r="DEW19" s="582"/>
      <c r="DEX19" s="582"/>
      <c r="DEY19" s="582"/>
      <c r="DEZ19" s="582"/>
      <c r="DFA19" s="582"/>
      <c r="DFB19" s="582"/>
      <c r="DFC19" s="582"/>
      <c r="DFD19" s="582"/>
      <c r="DFE19" s="582"/>
      <c r="DFF19" s="582"/>
      <c r="DFG19" s="582"/>
      <c r="DFH19" s="582"/>
      <c r="DFI19" s="582"/>
      <c r="DFJ19" s="582"/>
      <c r="DFK19" s="582"/>
      <c r="DFL19" s="582"/>
      <c r="DFM19" s="582"/>
      <c r="DFN19" s="582"/>
      <c r="DFO19" s="582"/>
      <c r="DFP19" s="582"/>
      <c r="DFQ19" s="582"/>
      <c r="DFR19" s="582"/>
      <c r="DFS19" s="582"/>
      <c r="DFT19" s="582"/>
      <c r="DFU19" s="582"/>
      <c r="DFV19" s="582"/>
      <c r="DFW19" s="582"/>
      <c r="DFX19" s="582"/>
      <c r="DFY19" s="582"/>
      <c r="DFZ19" s="582"/>
      <c r="DGA19" s="582"/>
      <c r="DGB19" s="582"/>
      <c r="DGC19" s="582"/>
      <c r="DGD19" s="582"/>
      <c r="DGE19" s="582"/>
      <c r="DGF19" s="582"/>
      <c r="DGG19" s="582"/>
      <c r="DGH19" s="582"/>
      <c r="DGI19" s="582"/>
      <c r="DGJ19" s="582"/>
      <c r="DGK19" s="582"/>
      <c r="DGL19" s="582"/>
      <c r="DGM19" s="582"/>
      <c r="DGN19" s="582"/>
      <c r="DGO19" s="582"/>
      <c r="DGP19" s="582"/>
      <c r="DGQ19" s="582"/>
      <c r="DGR19" s="582"/>
      <c r="DGS19" s="582"/>
      <c r="DGT19" s="582"/>
      <c r="DGU19" s="582"/>
      <c r="DGV19" s="582"/>
      <c r="DGW19" s="582"/>
      <c r="DGX19" s="582"/>
      <c r="DGY19" s="582"/>
      <c r="DGZ19" s="582"/>
      <c r="DHA19" s="582"/>
      <c r="DHB19" s="582"/>
      <c r="DHC19" s="582"/>
      <c r="DHD19" s="582"/>
      <c r="DHE19" s="582"/>
      <c r="DHF19" s="582"/>
      <c r="DHG19" s="582"/>
      <c r="DHH19" s="582"/>
      <c r="DHI19" s="582"/>
      <c r="DHJ19" s="582"/>
      <c r="DHK19" s="582"/>
      <c r="DHL19" s="582"/>
      <c r="DHM19" s="582"/>
      <c r="DHN19" s="582"/>
      <c r="DHO19" s="582"/>
      <c r="DHP19" s="582"/>
      <c r="DHQ19" s="582"/>
      <c r="DHR19" s="582"/>
      <c r="DHS19" s="582"/>
      <c r="DHT19" s="582"/>
      <c r="DHU19" s="582"/>
      <c r="DHV19" s="582"/>
      <c r="DHW19" s="582"/>
      <c r="DHX19" s="582"/>
      <c r="DHY19" s="582"/>
      <c r="DHZ19" s="582"/>
      <c r="DIA19" s="582"/>
      <c r="DIB19" s="582"/>
      <c r="DIC19" s="582"/>
      <c r="DID19" s="582"/>
      <c r="DIE19" s="582"/>
      <c r="DIF19" s="582"/>
      <c r="DIG19" s="582"/>
      <c r="DIH19" s="582"/>
      <c r="DII19" s="582"/>
      <c r="DIJ19" s="582"/>
      <c r="DIK19" s="582"/>
      <c r="DIL19" s="582"/>
      <c r="DIM19" s="582"/>
      <c r="DIN19" s="582"/>
      <c r="DIO19" s="582"/>
      <c r="DIP19" s="582"/>
      <c r="DIQ19" s="582"/>
      <c r="DIR19" s="582"/>
      <c r="DIS19" s="582"/>
      <c r="DIT19" s="582"/>
      <c r="DIU19" s="582"/>
      <c r="DIV19" s="582"/>
      <c r="DIW19" s="582"/>
      <c r="DIX19" s="582"/>
      <c r="DIY19" s="582"/>
      <c r="DIZ19" s="582"/>
      <c r="DJA19" s="582"/>
      <c r="DJB19" s="582"/>
      <c r="DJC19" s="582"/>
      <c r="DJD19" s="582"/>
      <c r="DJE19" s="582"/>
      <c r="DJF19" s="582"/>
      <c r="DJG19" s="582"/>
      <c r="DJH19" s="582"/>
      <c r="DJI19" s="582"/>
      <c r="DJJ19" s="582"/>
      <c r="DJK19" s="582"/>
      <c r="DJL19" s="582"/>
      <c r="DJM19" s="582"/>
      <c r="DJN19" s="582"/>
      <c r="DJO19" s="582"/>
      <c r="DJP19" s="582"/>
      <c r="DJQ19" s="582"/>
      <c r="DJR19" s="582"/>
      <c r="DJS19" s="582"/>
      <c r="DJT19" s="582"/>
      <c r="DJU19" s="582"/>
      <c r="DJV19" s="582"/>
      <c r="DJW19" s="582"/>
      <c r="DJX19" s="582"/>
      <c r="DJY19" s="582"/>
      <c r="DJZ19" s="582"/>
      <c r="DKA19" s="582"/>
      <c r="DKB19" s="582"/>
      <c r="DKC19" s="582"/>
      <c r="DKD19" s="582"/>
      <c r="DKE19" s="582"/>
      <c r="DKF19" s="582"/>
      <c r="DKG19" s="582"/>
      <c r="DKH19" s="582"/>
      <c r="DKI19" s="582"/>
      <c r="DKJ19" s="582"/>
      <c r="DKK19" s="582"/>
      <c r="DKL19" s="582"/>
      <c r="DKM19" s="582"/>
      <c r="DKN19" s="582"/>
      <c r="DKO19" s="582"/>
      <c r="DKP19" s="582"/>
      <c r="DKQ19" s="582"/>
      <c r="DKR19" s="582"/>
      <c r="DKS19" s="582"/>
      <c r="DKT19" s="582"/>
      <c r="DKU19" s="582"/>
      <c r="DKV19" s="582"/>
      <c r="DKW19" s="582"/>
      <c r="DKX19" s="582"/>
      <c r="DKY19" s="582"/>
      <c r="DKZ19" s="582"/>
      <c r="DLA19" s="582"/>
      <c r="DLB19" s="582"/>
      <c r="DLC19" s="582"/>
      <c r="DLD19" s="582"/>
      <c r="DLE19" s="582"/>
      <c r="DLF19" s="582"/>
      <c r="DLG19" s="582"/>
      <c r="DLH19" s="582"/>
      <c r="DLI19" s="582"/>
      <c r="DLJ19" s="582"/>
      <c r="DLK19" s="582"/>
      <c r="DLL19" s="582"/>
      <c r="DLM19" s="582"/>
      <c r="DLN19" s="582"/>
      <c r="DLO19" s="582"/>
      <c r="DLP19" s="582"/>
      <c r="DLQ19" s="582"/>
      <c r="DLR19" s="582"/>
      <c r="DLS19" s="582"/>
      <c r="DLT19" s="582"/>
      <c r="DLU19" s="582"/>
      <c r="DLV19" s="582"/>
      <c r="DLW19" s="582"/>
      <c r="DLX19" s="582"/>
      <c r="DLY19" s="582"/>
      <c r="DLZ19" s="582"/>
      <c r="DMA19" s="582"/>
      <c r="DMB19" s="582"/>
      <c r="DMC19" s="582"/>
      <c r="DMD19" s="582"/>
      <c r="DME19" s="582"/>
      <c r="DMF19" s="582"/>
      <c r="DMG19" s="582"/>
      <c r="DMH19" s="582"/>
      <c r="DMI19" s="582"/>
      <c r="DMJ19" s="582"/>
      <c r="DMK19" s="582"/>
      <c r="DML19" s="582"/>
      <c r="DMM19" s="582"/>
      <c r="DMN19" s="582"/>
      <c r="DMO19" s="582"/>
      <c r="DMP19" s="582"/>
      <c r="DMQ19" s="582"/>
      <c r="DMR19" s="582"/>
      <c r="DMS19" s="582"/>
      <c r="DMT19" s="582"/>
      <c r="DMU19" s="582"/>
      <c r="DMV19" s="582"/>
      <c r="DMW19" s="582"/>
      <c r="DMX19" s="582"/>
      <c r="DMY19" s="582"/>
      <c r="DMZ19" s="582"/>
      <c r="DNA19" s="582"/>
      <c r="DNB19" s="582"/>
      <c r="DNC19" s="582"/>
      <c r="DND19" s="582"/>
      <c r="DNE19" s="582"/>
      <c r="DNF19" s="582"/>
      <c r="DNG19" s="582"/>
      <c r="DNH19" s="582"/>
      <c r="DNI19" s="582"/>
      <c r="DNJ19" s="582"/>
      <c r="DNK19" s="582"/>
      <c r="DNL19" s="582"/>
      <c r="DNM19" s="582"/>
      <c r="DNN19" s="582"/>
      <c r="DNO19" s="582"/>
      <c r="DNP19" s="582"/>
      <c r="DNQ19" s="582"/>
      <c r="DNR19" s="582"/>
      <c r="DNS19" s="582"/>
      <c r="DNT19" s="582"/>
      <c r="DNU19" s="582"/>
      <c r="DNV19" s="582"/>
      <c r="DNW19" s="582"/>
      <c r="DNX19" s="582"/>
      <c r="DNY19" s="582"/>
      <c r="DNZ19" s="582"/>
      <c r="DOA19" s="582"/>
      <c r="DOB19" s="582"/>
      <c r="DOC19" s="582"/>
      <c r="DOD19" s="582"/>
      <c r="DOE19" s="582"/>
      <c r="DOF19" s="582"/>
      <c r="DOG19" s="582"/>
      <c r="DOH19" s="582"/>
      <c r="DOI19" s="582"/>
      <c r="DOJ19" s="582"/>
      <c r="DOK19" s="582"/>
      <c r="DOL19" s="582"/>
      <c r="DOM19" s="582"/>
      <c r="DON19" s="582"/>
      <c r="DOO19" s="582"/>
      <c r="DOP19" s="582"/>
      <c r="DOQ19" s="582"/>
      <c r="DOR19" s="582"/>
      <c r="DOS19" s="582"/>
      <c r="DOT19" s="582"/>
      <c r="DOU19" s="582"/>
      <c r="DOV19" s="582"/>
      <c r="DOW19" s="582"/>
      <c r="DOX19" s="582"/>
      <c r="DOY19" s="582"/>
      <c r="DOZ19" s="582"/>
      <c r="DPA19" s="582"/>
      <c r="DPB19" s="582"/>
      <c r="DPC19" s="582"/>
      <c r="DPD19" s="582"/>
      <c r="DPE19" s="582"/>
      <c r="DPF19" s="582"/>
      <c r="DPG19" s="582"/>
      <c r="DPH19" s="582"/>
      <c r="DPI19" s="582"/>
      <c r="DPJ19" s="582"/>
      <c r="DPK19" s="582"/>
      <c r="DPL19" s="582"/>
      <c r="DPM19" s="582"/>
      <c r="DPN19" s="582"/>
      <c r="DPO19" s="582"/>
      <c r="DPP19" s="582"/>
      <c r="DPQ19" s="582"/>
      <c r="DPR19" s="582"/>
      <c r="DPS19" s="582"/>
      <c r="DPT19" s="582"/>
      <c r="DPU19" s="582"/>
      <c r="DPV19" s="582"/>
      <c r="DPW19" s="582"/>
      <c r="DPX19" s="582"/>
      <c r="DPY19" s="582"/>
      <c r="DPZ19" s="582"/>
      <c r="DQA19" s="582"/>
      <c r="DQB19" s="582"/>
      <c r="DQC19" s="582"/>
      <c r="DQD19" s="582"/>
      <c r="DQE19" s="582"/>
      <c r="DQF19" s="582"/>
      <c r="DQG19" s="582"/>
      <c r="DQH19" s="582"/>
      <c r="DQI19" s="582"/>
      <c r="DQJ19" s="582"/>
      <c r="DQK19" s="582"/>
      <c r="DQL19" s="582"/>
      <c r="DQM19" s="582"/>
      <c r="DQN19" s="582"/>
      <c r="DQO19" s="582"/>
      <c r="DQP19" s="582"/>
      <c r="DQQ19" s="582"/>
      <c r="DQR19" s="582"/>
      <c r="DQS19" s="582"/>
      <c r="DQT19" s="582"/>
      <c r="DQU19" s="582"/>
      <c r="DQV19" s="582"/>
      <c r="DQW19" s="582"/>
      <c r="DQX19" s="582"/>
      <c r="DQY19" s="582"/>
      <c r="DQZ19" s="582"/>
      <c r="DRA19" s="582"/>
      <c r="DRB19" s="582"/>
      <c r="DRC19" s="582"/>
      <c r="DRD19" s="582"/>
      <c r="DRE19" s="582"/>
      <c r="DRF19" s="582"/>
      <c r="DRG19" s="582"/>
      <c r="DRH19" s="582"/>
      <c r="DRI19" s="582"/>
      <c r="DRJ19" s="582"/>
      <c r="DRK19" s="582"/>
      <c r="DRL19" s="582"/>
      <c r="DRM19" s="582"/>
      <c r="DRN19" s="582"/>
      <c r="DRO19" s="582"/>
      <c r="DRP19" s="582"/>
      <c r="DRQ19" s="582"/>
      <c r="DRR19" s="582"/>
      <c r="DRS19" s="582"/>
      <c r="DRT19" s="582"/>
      <c r="DRU19" s="582"/>
      <c r="DRV19" s="582"/>
      <c r="DRW19" s="582"/>
      <c r="DRX19" s="582"/>
      <c r="DRY19" s="582"/>
      <c r="DRZ19" s="582"/>
      <c r="DSA19" s="582"/>
      <c r="DSB19" s="582"/>
      <c r="DSC19" s="582"/>
      <c r="DSD19" s="582"/>
      <c r="DSE19" s="582"/>
      <c r="DSF19" s="582"/>
      <c r="DSG19" s="582"/>
      <c r="DSH19" s="582"/>
      <c r="DSI19" s="582"/>
      <c r="DSJ19" s="582"/>
      <c r="DSK19" s="582"/>
      <c r="DSL19" s="582"/>
      <c r="DSM19" s="582"/>
      <c r="DSN19" s="582"/>
      <c r="DSO19" s="582"/>
      <c r="DSP19" s="582"/>
      <c r="DSQ19" s="582"/>
      <c r="DSR19" s="582"/>
      <c r="DSS19" s="582"/>
      <c r="DST19" s="582"/>
      <c r="DSU19" s="582"/>
      <c r="DSV19" s="582"/>
      <c r="DSW19" s="582"/>
      <c r="DSX19" s="582"/>
      <c r="DSY19" s="582"/>
      <c r="DSZ19" s="582"/>
      <c r="DTA19" s="582"/>
      <c r="DTB19" s="582"/>
      <c r="DTC19" s="582"/>
      <c r="DTD19" s="582"/>
      <c r="DTE19" s="582"/>
      <c r="DTF19" s="582"/>
      <c r="DTG19" s="582"/>
      <c r="DTH19" s="582"/>
      <c r="DTI19" s="582"/>
      <c r="DTJ19" s="582"/>
      <c r="DTK19" s="582"/>
      <c r="DTL19" s="582"/>
      <c r="DTM19" s="582"/>
      <c r="DTN19" s="582"/>
      <c r="DTO19" s="582"/>
      <c r="DTP19" s="582"/>
      <c r="DTQ19" s="582"/>
      <c r="DTR19" s="582"/>
      <c r="DTS19" s="582"/>
      <c r="DTT19" s="582"/>
      <c r="DTU19" s="582"/>
      <c r="DTV19" s="582"/>
      <c r="DTW19" s="582"/>
      <c r="DTX19" s="582"/>
      <c r="DTY19" s="582"/>
      <c r="DTZ19" s="582"/>
      <c r="DUA19" s="582"/>
      <c r="DUB19" s="582"/>
      <c r="DUC19" s="582"/>
      <c r="DUD19" s="582"/>
      <c r="DUE19" s="582"/>
      <c r="DUF19" s="582"/>
      <c r="DUG19" s="582"/>
      <c r="DUH19" s="582"/>
      <c r="DUI19" s="582"/>
      <c r="DUJ19" s="582"/>
      <c r="DUK19" s="582"/>
      <c r="DUL19" s="582"/>
      <c r="DUM19" s="582"/>
      <c r="DUN19" s="582"/>
      <c r="DUO19" s="582"/>
      <c r="DUP19" s="582"/>
      <c r="DUQ19" s="582"/>
      <c r="DUR19" s="582"/>
      <c r="DUS19" s="582"/>
      <c r="DUT19" s="582"/>
      <c r="DUU19" s="582"/>
      <c r="DUV19" s="582"/>
      <c r="DUW19" s="582"/>
      <c r="DUX19" s="582"/>
      <c r="DUY19" s="582"/>
      <c r="DUZ19" s="582"/>
      <c r="DVA19" s="582"/>
      <c r="DVB19" s="582"/>
      <c r="DVC19" s="582"/>
      <c r="DVD19" s="582"/>
      <c r="DVE19" s="582"/>
      <c r="DVF19" s="582"/>
      <c r="DVG19" s="582"/>
      <c r="DVH19" s="582"/>
      <c r="DVI19" s="582"/>
      <c r="DVJ19" s="582"/>
      <c r="DVK19" s="582"/>
      <c r="DVL19" s="582"/>
      <c r="DVM19" s="582"/>
      <c r="DVN19" s="582"/>
      <c r="DVO19" s="582"/>
      <c r="DVP19" s="582"/>
      <c r="DVQ19" s="582"/>
      <c r="DVR19" s="582"/>
      <c r="DVS19" s="582"/>
      <c r="DVT19" s="582"/>
      <c r="DVU19" s="582"/>
      <c r="DVV19" s="582"/>
      <c r="DVW19" s="582"/>
      <c r="DVX19" s="582"/>
      <c r="DVY19" s="582"/>
      <c r="DVZ19" s="582"/>
      <c r="DWA19" s="582"/>
      <c r="DWB19" s="582"/>
      <c r="DWC19" s="582"/>
      <c r="DWD19" s="582"/>
      <c r="DWE19" s="582"/>
      <c r="DWF19" s="582"/>
      <c r="DWG19" s="582"/>
      <c r="DWH19" s="582"/>
      <c r="DWI19" s="582"/>
      <c r="DWJ19" s="582"/>
      <c r="DWK19" s="582"/>
      <c r="DWL19" s="582"/>
      <c r="DWM19" s="582"/>
      <c r="DWN19" s="582"/>
      <c r="DWO19" s="582"/>
      <c r="DWP19" s="582"/>
      <c r="DWQ19" s="582"/>
      <c r="DWR19" s="582"/>
      <c r="DWS19" s="582"/>
      <c r="DWT19" s="582"/>
      <c r="DWU19" s="582"/>
      <c r="DWV19" s="582"/>
      <c r="DWW19" s="582"/>
      <c r="DWX19" s="582"/>
      <c r="DWY19" s="582"/>
      <c r="DWZ19" s="582"/>
      <c r="DXA19" s="582"/>
      <c r="DXB19" s="582"/>
      <c r="DXC19" s="582"/>
      <c r="DXD19" s="582"/>
      <c r="DXE19" s="582"/>
      <c r="DXF19" s="582"/>
      <c r="DXG19" s="582"/>
      <c r="DXH19" s="582"/>
      <c r="DXI19" s="582"/>
      <c r="DXJ19" s="582"/>
      <c r="DXK19" s="582"/>
      <c r="DXL19" s="582"/>
      <c r="DXM19" s="582"/>
      <c r="DXN19" s="582"/>
      <c r="DXO19" s="582"/>
      <c r="DXP19" s="582"/>
      <c r="DXQ19" s="582"/>
      <c r="DXR19" s="582"/>
      <c r="DXS19" s="582"/>
      <c r="DXT19" s="582"/>
      <c r="DXU19" s="582"/>
      <c r="DXV19" s="582"/>
      <c r="DXW19" s="582"/>
      <c r="DXX19" s="582"/>
      <c r="DXY19" s="582"/>
      <c r="DXZ19" s="582"/>
      <c r="DYA19" s="582"/>
      <c r="DYB19" s="582"/>
      <c r="DYC19" s="582"/>
      <c r="DYD19" s="582"/>
      <c r="DYE19" s="582"/>
      <c r="DYF19" s="582"/>
      <c r="DYG19" s="582"/>
      <c r="DYH19" s="582"/>
      <c r="DYI19" s="582"/>
      <c r="DYJ19" s="582"/>
      <c r="DYK19" s="582"/>
      <c r="DYL19" s="582"/>
      <c r="DYM19" s="582"/>
      <c r="DYN19" s="582"/>
      <c r="DYO19" s="582"/>
      <c r="DYP19" s="582"/>
      <c r="DYQ19" s="582"/>
      <c r="DYR19" s="582"/>
      <c r="DYS19" s="582"/>
      <c r="DYT19" s="582"/>
      <c r="DYU19" s="582"/>
      <c r="DYV19" s="582"/>
      <c r="DYW19" s="582"/>
      <c r="DYX19" s="582"/>
      <c r="DYY19" s="582"/>
      <c r="DYZ19" s="582"/>
      <c r="DZA19" s="582"/>
      <c r="DZB19" s="582"/>
      <c r="DZC19" s="582"/>
      <c r="DZD19" s="582"/>
      <c r="DZE19" s="582"/>
      <c r="DZF19" s="582"/>
      <c r="DZG19" s="582"/>
      <c r="DZH19" s="582"/>
      <c r="DZI19" s="582"/>
      <c r="DZJ19" s="582"/>
      <c r="DZK19" s="582"/>
      <c r="DZL19" s="582"/>
      <c r="DZM19" s="582"/>
      <c r="DZN19" s="582"/>
      <c r="DZO19" s="582"/>
      <c r="DZP19" s="582"/>
      <c r="DZQ19" s="582"/>
      <c r="DZR19" s="582"/>
      <c r="DZS19" s="582"/>
      <c r="DZT19" s="582"/>
      <c r="DZU19" s="582"/>
      <c r="DZV19" s="582"/>
      <c r="DZW19" s="582"/>
      <c r="DZX19" s="582"/>
      <c r="DZY19" s="582"/>
      <c r="DZZ19" s="582"/>
      <c r="EAA19" s="582"/>
      <c r="EAB19" s="582"/>
      <c r="EAC19" s="582"/>
      <c r="EAD19" s="582"/>
      <c r="EAE19" s="582"/>
      <c r="EAF19" s="582"/>
      <c r="EAG19" s="582"/>
      <c r="EAH19" s="582"/>
      <c r="EAI19" s="582"/>
      <c r="EAJ19" s="582"/>
      <c r="EAK19" s="582"/>
      <c r="EAL19" s="582"/>
      <c r="EAM19" s="582"/>
      <c r="EAN19" s="582"/>
      <c r="EAO19" s="582"/>
      <c r="EAP19" s="582"/>
      <c r="EAQ19" s="582"/>
      <c r="EAR19" s="582"/>
      <c r="EAS19" s="582"/>
      <c r="EAT19" s="582"/>
      <c r="EAU19" s="582"/>
      <c r="EAV19" s="582"/>
      <c r="EAW19" s="582"/>
      <c r="EAX19" s="582"/>
      <c r="EAY19" s="582"/>
      <c r="EAZ19" s="582"/>
      <c r="EBA19" s="582"/>
      <c r="EBB19" s="582"/>
      <c r="EBC19" s="582"/>
      <c r="EBD19" s="582"/>
      <c r="EBE19" s="582"/>
      <c r="EBF19" s="582"/>
      <c r="EBG19" s="582"/>
      <c r="EBH19" s="582"/>
      <c r="EBI19" s="582"/>
      <c r="EBJ19" s="582"/>
      <c r="EBK19" s="582"/>
      <c r="EBL19" s="582"/>
      <c r="EBM19" s="582"/>
      <c r="EBN19" s="582"/>
      <c r="EBO19" s="582"/>
      <c r="EBP19" s="582"/>
      <c r="EBQ19" s="582"/>
      <c r="EBR19" s="582"/>
      <c r="EBS19" s="582"/>
      <c r="EBT19" s="582"/>
      <c r="EBU19" s="582"/>
      <c r="EBV19" s="582"/>
      <c r="EBW19" s="582"/>
      <c r="EBX19" s="582"/>
      <c r="EBY19" s="582"/>
      <c r="EBZ19" s="582"/>
      <c r="ECA19" s="582"/>
      <c r="ECB19" s="582"/>
      <c r="ECC19" s="582"/>
      <c r="ECD19" s="582"/>
      <c r="ECE19" s="582"/>
      <c r="ECF19" s="582"/>
      <c r="ECG19" s="582"/>
      <c r="ECH19" s="582"/>
      <c r="ECI19" s="582"/>
      <c r="ECJ19" s="582"/>
      <c r="ECK19" s="582"/>
      <c r="ECL19" s="582"/>
      <c r="ECM19" s="582"/>
      <c r="ECN19" s="582"/>
      <c r="ECO19" s="582"/>
      <c r="ECP19" s="582"/>
      <c r="ECQ19" s="582"/>
      <c r="ECR19" s="582"/>
      <c r="ECS19" s="582"/>
      <c r="ECT19" s="582"/>
      <c r="ECU19" s="582"/>
      <c r="ECV19" s="582"/>
      <c r="ECW19" s="582"/>
      <c r="ECX19" s="582"/>
      <c r="ECY19" s="582"/>
      <c r="ECZ19" s="582"/>
      <c r="EDA19" s="582"/>
      <c r="EDB19" s="582"/>
      <c r="EDC19" s="582"/>
      <c r="EDD19" s="582"/>
      <c r="EDE19" s="582"/>
      <c r="EDF19" s="582"/>
      <c r="EDG19" s="582"/>
      <c r="EDH19" s="582"/>
      <c r="EDI19" s="582"/>
      <c r="EDJ19" s="582"/>
      <c r="EDK19" s="582"/>
      <c r="EDL19" s="582"/>
      <c r="EDM19" s="582"/>
      <c r="EDN19" s="582"/>
      <c r="EDO19" s="582"/>
      <c r="EDP19" s="582"/>
      <c r="EDQ19" s="582"/>
      <c r="EDR19" s="582"/>
      <c r="EDS19" s="582"/>
      <c r="EDT19" s="582"/>
      <c r="EDU19" s="582"/>
      <c r="EDV19" s="582"/>
      <c r="EDW19" s="582"/>
      <c r="EDX19" s="582"/>
      <c r="EDY19" s="582"/>
      <c r="EDZ19" s="582"/>
      <c r="EEA19" s="582"/>
      <c r="EEB19" s="582"/>
      <c r="EEC19" s="582"/>
      <c r="EED19" s="582"/>
      <c r="EEE19" s="582"/>
      <c r="EEF19" s="582"/>
      <c r="EEG19" s="582"/>
      <c r="EEH19" s="582"/>
      <c r="EEI19" s="582"/>
      <c r="EEJ19" s="582"/>
      <c r="EEK19" s="582"/>
      <c r="EEL19" s="582"/>
      <c r="EEM19" s="582"/>
      <c r="EEN19" s="582"/>
      <c r="EEO19" s="582"/>
      <c r="EEP19" s="582"/>
      <c r="EEQ19" s="582"/>
      <c r="EER19" s="582"/>
      <c r="EES19" s="582"/>
      <c r="EET19" s="582"/>
      <c r="EEU19" s="582"/>
      <c r="EEV19" s="582"/>
      <c r="EEW19" s="582"/>
      <c r="EEX19" s="582"/>
      <c r="EEY19" s="582"/>
      <c r="EEZ19" s="582"/>
      <c r="EFA19" s="582"/>
      <c r="EFB19" s="582"/>
      <c r="EFC19" s="582"/>
      <c r="EFD19" s="582"/>
      <c r="EFE19" s="582"/>
      <c r="EFF19" s="582"/>
      <c r="EFG19" s="582"/>
      <c r="EFH19" s="582"/>
      <c r="EFI19" s="582"/>
      <c r="EFJ19" s="582"/>
      <c r="EFK19" s="582"/>
      <c r="EFL19" s="582"/>
      <c r="EFM19" s="582"/>
      <c r="EFN19" s="582"/>
      <c r="EFO19" s="582"/>
      <c r="EFP19" s="582"/>
      <c r="EFQ19" s="582"/>
      <c r="EFR19" s="582"/>
      <c r="EFS19" s="582"/>
      <c r="EFT19" s="582"/>
      <c r="EFU19" s="582"/>
      <c r="EFV19" s="582"/>
      <c r="EFW19" s="582"/>
      <c r="EFX19" s="582"/>
      <c r="EFY19" s="582"/>
      <c r="EFZ19" s="582"/>
      <c r="EGA19" s="582"/>
      <c r="EGB19" s="582"/>
      <c r="EGC19" s="582"/>
      <c r="EGD19" s="582"/>
      <c r="EGE19" s="582"/>
      <c r="EGF19" s="582"/>
      <c r="EGG19" s="582"/>
      <c r="EGH19" s="582"/>
      <c r="EGI19" s="582"/>
      <c r="EGJ19" s="582"/>
      <c r="EGK19" s="582"/>
      <c r="EGL19" s="582"/>
      <c r="EGM19" s="582"/>
      <c r="EGN19" s="582"/>
      <c r="EGO19" s="582"/>
      <c r="EGP19" s="582"/>
      <c r="EGQ19" s="582"/>
      <c r="EGR19" s="582"/>
      <c r="EGS19" s="582"/>
      <c r="EGT19" s="582"/>
      <c r="EGU19" s="582"/>
      <c r="EGV19" s="582"/>
      <c r="EGW19" s="582"/>
      <c r="EGX19" s="582"/>
      <c r="EGY19" s="582"/>
      <c r="EGZ19" s="582"/>
      <c r="EHA19" s="582"/>
      <c r="EHB19" s="582"/>
      <c r="EHC19" s="582"/>
      <c r="EHD19" s="582"/>
      <c r="EHE19" s="582"/>
      <c r="EHF19" s="582"/>
      <c r="EHG19" s="582"/>
      <c r="EHH19" s="582"/>
      <c r="EHI19" s="582"/>
      <c r="EHJ19" s="582"/>
      <c r="EHK19" s="582"/>
      <c r="EHL19" s="582"/>
      <c r="EHM19" s="582"/>
      <c r="EHN19" s="582"/>
      <c r="EHO19" s="582"/>
      <c r="EHP19" s="582"/>
      <c r="EHQ19" s="582"/>
      <c r="EHR19" s="582"/>
      <c r="EHS19" s="582"/>
      <c r="EHT19" s="582"/>
      <c r="EHU19" s="582"/>
      <c r="EHV19" s="582"/>
      <c r="EHW19" s="582"/>
      <c r="EHX19" s="582"/>
      <c r="EHY19" s="582"/>
      <c r="EHZ19" s="582"/>
      <c r="EIA19" s="582"/>
      <c r="EIB19" s="582"/>
      <c r="EIC19" s="582"/>
      <c r="EID19" s="582"/>
      <c r="EIE19" s="582"/>
      <c r="EIF19" s="582"/>
      <c r="EIG19" s="582"/>
      <c r="EIH19" s="582"/>
      <c r="EII19" s="582"/>
      <c r="EIJ19" s="582"/>
      <c r="EIK19" s="582"/>
      <c r="EIL19" s="582"/>
      <c r="EIM19" s="582"/>
      <c r="EIN19" s="582"/>
      <c r="EIO19" s="582"/>
      <c r="EIP19" s="582"/>
      <c r="EIQ19" s="582"/>
      <c r="EIR19" s="582"/>
      <c r="EIS19" s="582"/>
      <c r="EIT19" s="582"/>
      <c r="EIU19" s="582"/>
      <c r="EIV19" s="582"/>
      <c r="EIW19" s="582"/>
      <c r="EIX19" s="582"/>
      <c r="EIY19" s="582"/>
      <c r="EIZ19" s="582"/>
      <c r="EJA19" s="582"/>
      <c r="EJB19" s="582"/>
      <c r="EJC19" s="582"/>
      <c r="EJD19" s="582"/>
      <c r="EJE19" s="582"/>
      <c r="EJF19" s="582"/>
      <c r="EJG19" s="582"/>
      <c r="EJH19" s="582"/>
      <c r="EJI19" s="582"/>
      <c r="EJJ19" s="582"/>
      <c r="EJK19" s="582"/>
      <c r="EJL19" s="582"/>
      <c r="EJM19" s="582"/>
      <c r="EJN19" s="582"/>
      <c r="EJO19" s="582"/>
      <c r="EJP19" s="582"/>
      <c r="EJQ19" s="582"/>
      <c r="EJR19" s="582"/>
      <c r="EJS19" s="582"/>
      <c r="EJT19" s="582"/>
      <c r="EJU19" s="582"/>
      <c r="EJV19" s="582"/>
      <c r="EJW19" s="582"/>
      <c r="EJX19" s="582"/>
      <c r="EJY19" s="582"/>
      <c r="EJZ19" s="582"/>
      <c r="EKA19" s="582"/>
      <c r="EKB19" s="582"/>
      <c r="EKC19" s="582"/>
      <c r="EKD19" s="582"/>
      <c r="EKE19" s="582"/>
      <c r="EKF19" s="582"/>
      <c r="EKG19" s="582"/>
      <c r="EKH19" s="582"/>
      <c r="EKI19" s="582"/>
      <c r="EKJ19" s="582"/>
      <c r="EKK19" s="582"/>
      <c r="EKL19" s="582"/>
      <c r="EKM19" s="582"/>
      <c r="EKN19" s="582"/>
      <c r="EKO19" s="582"/>
      <c r="EKP19" s="582"/>
      <c r="EKQ19" s="582"/>
      <c r="EKR19" s="582"/>
      <c r="EKS19" s="582"/>
      <c r="EKT19" s="582"/>
      <c r="EKU19" s="582"/>
      <c r="EKV19" s="582"/>
      <c r="EKW19" s="582"/>
      <c r="EKX19" s="582"/>
      <c r="EKY19" s="582"/>
      <c r="EKZ19" s="582"/>
      <c r="ELA19" s="582"/>
      <c r="ELB19" s="582"/>
      <c r="ELC19" s="582"/>
      <c r="ELD19" s="582"/>
      <c r="ELE19" s="582"/>
      <c r="ELF19" s="582"/>
      <c r="ELG19" s="582"/>
      <c r="ELH19" s="582"/>
      <c r="ELI19" s="582"/>
      <c r="ELJ19" s="582"/>
      <c r="ELK19" s="582"/>
      <c r="ELL19" s="582"/>
      <c r="ELM19" s="582"/>
      <c r="ELN19" s="582"/>
      <c r="ELO19" s="582"/>
      <c r="ELP19" s="582"/>
      <c r="ELQ19" s="582"/>
      <c r="ELR19" s="582"/>
      <c r="ELS19" s="582"/>
      <c r="ELT19" s="582"/>
      <c r="ELU19" s="582"/>
      <c r="ELV19" s="582"/>
      <c r="ELW19" s="582"/>
      <c r="ELX19" s="582"/>
      <c r="ELY19" s="582"/>
      <c r="ELZ19" s="582"/>
      <c r="EMA19" s="582"/>
      <c r="EMB19" s="582"/>
      <c r="EMC19" s="582"/>
      <c r="EMD19" s="582"/>
      <c r="EME19" s="582"/>
      <c r="EMF19" s="582"/>
      <c r="EMG19" s="582"/>
      <c r="EMH19" s="582"/>
      <c r="EMI19" s="582"/>
      <c r="EMJ19" s="582"/>
      <c r="EMK19" s="582"/>
      <c r="EML19" s="582"/>
      <c r="EMM19" s="582"/>
      <c r="EMN19" s="582"/>
      <c r="EMO19" s="582"/>
      <c r="EMP19" s="582"/>
      <c r="EMQ19" s="582"/>
      <c r="EMR19" s="582"/>
      <c r="EMS19" s="582"/>
      <c r="EMT19" s="582"/>
      <c r="EMU19" s="582"/>
      <c r="EMV19" s="582"/>
      <c r="EMW19" s="582"/>
      <c r="EMX19" s="582"/>
      <c r="EMY19" s="582"/>
      <c r="EMZ19" s="582"/>
      <c r="ENA19" s="582"/>
      <c r="ENB19" s="582"/>
      <c r="ENC19" s="582"/>
      <c r="END19" s="582"/>
      <c r="ENE19" s="582"/>
      <c r="ENF19" s="582"/>
      <c r="ENG19" s="582"/>
      <c r="ENH19" s="582"/>
      <c r="ENI19" s="582"/>
      <c r="ENJ19" s="582"/>
      <c r="ENK19" s="582"/>
      <c r="ENL19" s="582"/>
      <c r="ENM19" s="582"/>
      <c r="ENN19" s="582"/>
      <c r="ENO19" s="582"/>
      <c r="ENP19" s="582"/>
      <c r="ENQ19" s="582"/>
      <c r="ENR19" s="582"/>
      <c r="ENS19" s="582"/>
      <c r="ENT19" s="582"/>
      <c r="ENU19" s="582"/>
      <c r="ENV19" s="582"/>
      <c r="ENW19" s="582"/>
      <c r="ENX19" s="582"/>
      <c r="ENY19" s="582"/>
      <c r="ENZ19" s="582"/>
      <c r="EOA19" s="582"/>
      <c r="EOB19" s="582"/>
      <c r="EOC19" s="582"/>
      <c r="EOD19" s="582"/>
      <c r="EOE19" s="582"/>
      <c r="EOF19" s="582"/>
      <c r="EOG19" s="582"/>
      <c r="EOH19" s="582"/>
      <c r="EOI19" s="582"/>
      <c r="EOJ19" s="582"/>
      <c r="EOK19" s="582"/>
      <c r="EOL19" s="582"/>
      <c r="EOM19" s="582"/>
      <c r="EON19" s="582"/>
      <c r="EOO19" s="582"/>
      <c r="EOP19" s="582"/>
      <c r="EOQ19" s="582"/>
      <c r="EOR19" s="582"/>
      <c r="EOS19" s="582"/>
      <c r="EOT19" s="582"/>
      <c r="EOU19" s="582"/>
      <c r="EOV19" s="582"/>
      <c r="EOW19" s="582"/>
      <c r="EOX19" s="582"/>
      <c r="EOY19" s="582"/>
      <c r="EOZ19" s="582"/>
      <c r="EPA19" s="582"/>
      <c r="EPB19" s="582"/>
      <c r="EPC19" s="582"/>
      <c r="EPD19" s="582"/>
      <c r="EPE19" s="582"/>
      <c r="EPF19" s="582"/>
      <c r="EPG19" s="582"/>
      <c r="EPH19" s="582"/>
      <c r="EPI19" s="582"/>
      <c r="EPJ19" s="582"/>
      <c r="EPK19" s="582"/>
      <c r="EPL19" s="582"/>
      <c r="EPM19" s="582"/>
      <c r="EPN19" s="582"/>
      <c r="EPO19" s="582"/>
      <c r="EPP19" s="582"/>
      <c r="EPQ19" s="582"/>
      <c r="EPR19" s="582"/>
      <c r="EPS19" s="582"/>
      <c r="EPT19" s="582"/>
      <c r="EPU19" s="582"/>
      <c r="EPV19" s="582"/>
      <c r="EPW19" s="582"/>
      <c r="EPX19" s="582"/>
      <c r="EPY19" s="582"/>
      <c r="EPZ19" s="582"/>
      <c r="EQA19" s="582"/>
      <c r="EQB19" s="582"/>
      <c r="EQC19" s="582"/>
      <c r="EQD19" s="582"/>
      <c r="EQE19" s="582"/>
      <c r="EQF19" s="582"/>
      <c r="EQG19" s="582"/>
      <c r="EQH19" s="582"/>
      <c r="EQI19" s="582"/>
      <c r="EQJ19" s="582"/>
      <c r="EQK19" s="582"/>
      <c r="EQL19" s="582"/>
      <c r="EQM19" s="582"/>
      <c r="EQN19" s="582"/>
      <c r="EQO19" s="582"/>
      <c r="EQP19" s="582"/>
      <c r="EQQ19" s="582"/>
      <c r="EQR19" s="582"/>
      <c r="EQS19" s="582"/>
      <c r="EQT19" s="582"/>
      <c r="EQU19" s="582"/>
      <c r="EQV19" s="582"/>
      <c r="EQW19" s="582"/>
      <c r="EQX19" s="582"/>
      <c r="EQY19" s="582"/>
      <c r="EQZ19" s="582"/>
      <c r="ERA19" s="582"/>
      <c r="ERB19" s="582"/>
      <c r="ERC19" s="582"/>
      <c r="ERD19" s="582"/>
      <c r="ERE19" s="582"/>
      <c r="ERF19" s="582"/>
      <c r="ERG19" s="582"/>
      <c r="ERH19" s="582"/>
      <c r="ERI19" s="582"/>
      <c r="ERJ19" s="582"/>
      <c r="ERK19" s="582"/>
      <c r="ERL19" s="582"/>
      <c r="ERM19" s="582"/>
      <c r="ERN19" s="582"/>
      <c r="ERO19" s="582"/>
      <c r="ERP19" s="582"/>
      <c r="ERQ19" s="582"/>
      <c r="ERR19" s="582"/>
      <c r="ERS19" s="582"/>
      <c r="ERT19" s="582"/>
      <c r="ERU19" s="582"/>
      <c r="ERV19" s="582"/>
      <c r="ERW19" s="582"/>
      <c r="ERX19" s="582"/>
      <c r="ERY19" s="582"/>
      <c r="ERZ19" s="582"/>
      <c r="ESA19" s="582"/>
      <c r="ESB19" s="582"/>
      <c r="ESC19" s="582"/>
      <c r="ESD19" s="582"/>
      <c r="ESE19" s="582"/>
      <c r="ESF19" s="582"/>
      <c r="ESG19" s="582"/>
      <c r="ESH19" s="582"/>
      <c r="ESI19" s="582"/>
      <c r="ESJ19" s="582"/>
      <c r="ESK19" s="582"/>
      <c r="ESL19" s="582"/>
      <c r="ESM19" s="582"/>
      <c r="ESN19" s="582"/>
      <c r="ESO19" s="582"/>
      <c r="ESP19" s="582"/>
      <c r="ESQ19" s="582"/>
      <c r="ESR19" s="582"/>
      <c r="ESS19" s="582"/>
      <c r="EST19" s="582"/>
      <c r="ESU19" s="582"/>
      <c r="ESV19" s="582"/>
      <c r="ESW19" s="582"/>
      <c r="ESX19" s="582"/>
      <c r="ESY19" s="582"/>
      <c r="ESZ19" s="582"/>
      <c r="ETA19" s="582"/>
      <c r="ETB19" s="582"/>
      <c r="ETC19" s="582"/>
      <c r="ETD19" s="582"/>
      <c r="ETE19" s="582"/>
      <c r="ETF19" s="582"/>
      <c r="ETG19" s="582"/>
      <c r="ETH19" s="582"/>
      <c r="ETI19" s="582"/>
      <c r="ETJ19" s="582"/>
      <c r="ETK19" s="582"/>
      <c r="ETL19" s="582"/>
      <c r="ETM19" s="582"/>
      <c r="ETN19" s="582"/>
      <c r="ETO19" s="582"/>
      <c r="ETP19" s="582"/>
      <c r="ETQ19" s="582"/>
      <c r="ETR19" s="582"/>
      <c r="ETS19" s="582"/>
      <c r="ETT19" s="582"/>
      <c r="ETU19" s="582"/>
      <c r="ETV19" s="582"/>
      <c r="ETW19" s="582"/>
      <c r="ETX19" s="582"/>
      <c r="ETY19" s="582"/>
      <c r="ETZ19" s="582"/>
      <c r="EUA19" s="582"/>
      <c r="EUB19" s="582"/>
      <c r="EUC19" s="582"/>
      <c r="EUD19" s="582"/>
      <c r="EUE19" s="582"/>
      <c r="EUF19" s="582"/>
      <c r="EUG19" s="582"/>
      <c r="EUH19" s="582"/>
      <c r="EUI19" s="582"/>
      <c r="EUJ19" s="582"/>
      <c r="EUK19" s="582"/>
      <c r="EUL19" s="582"/>
      <c r="EUM19" s="582"/>
      <c r="EUN19" s="582"/>
      <c r="EUO19" s="582"/>
      <c r="EUP19" s="582"/>
      <c r="EUQ19" s="582"/>
      <c r="EUR19" s="582"/>
      <c r="EUS19" s="582"/>
      <c r="EUT19" s="582"/>
      <c r="EUU19" s="582"/>
      <c r="EUV19" s="582"/>
      <c r="EUW19" s="582"/>
      <c r="EUX19" s="582"/>
      <c r="EUY19" s="582"/>
      <c r="EUZ19" s="582"/>
      <c r="EVA19" s="582"/>
      <c r="EVB19" s="582"/>
      <c r="EVC19" s="582"/>
      <c r="EVD19" s="582"/>
      <c r="EVE19" s="582"/>
      <c r="EVF19" s="582"/>
      <c r="EVG19" s="582"/>
      <c r="EVH19" s="582"/>
      <c r="EVI19" s="582"/>
      <c r="EVJ19" s="582"/>
      <c r="EVK19" s="582"/>
      <c r="EVL19" s="582"/>
      <c r="EVM19" s="582"/>
      <c r="EVN19" s="582"/>
      <c r="EVO19" s="582"/>
      <c r="EVP19" s="582"/>
      <c r="EVQ19" s="582"/>
      <c r="EVR19" s="582"/>
      <c r="EVS19" s="582"/>
      <c r="EVT19" s="582"/>
      <c r="EVU19" s="582"/>
      <c r="EVV19" s="582"/>
      <c r="EVW19" s="582"/>
      <c r="EVX19" s="582"/>
      <c r="EVY19" s="582"/>
      <c r="EVZ19" s="582"/>
      <c r="EWA19" s="582"/>
      <c r="EWB19" s="582"/>
      <c r="EWC19" s="582"/>
      <c r="EWD19" s="582"/>
      <c r="EWE19" s="582"/>
      <c r="EWF19" s="582"/>
      <c r="EWG19" s="582"/>
      <c r="EWH19" s="582"/>
      <c r="EWI19" s="582"/>
      <c r="EWJ19" s="582"/>
      <c r="EWK19" s="582"/>
      <c r="EWL19" s="582"/>
      <c r="EWM19" s="582"/>
      <c r="EWN19" s="582"/>
      <c r="EWO19" s="582"/>
      <c r="EWP19" s="582"/>
      <c r="EWQ19" s="582"/>
      <c r="EWR19" s="582"/>
      <c r="EWS19" s="582"/>
      <c r="EWT19" s="582"/>
      <c r="EWU19" s="582"/>
      <c r="EWV19" s="582"/>
      <c r="EWW19" s="582"/>
      <c r="EWX19" s="582"/>
      <c r="EWY19" s="582"/>
      <c r="EWZ19" s="582"/>
      <c r="EXA19" s="582"/>
      <c r="EXB19" s="582"/>
      <c r="EXC19" s="582"/>
      <c r="EXD19" s="582"/>
      <c r="EXE19" s="582"/>
      <c r="EXF19" s="582"/>
      <c r="EXG19" s="582"/>
      <c r="EXH19" s="582"/>
      <c r="EXI19" s="582"/>
      <c r="EXJ19" s="582"/>
      <c r="EXK19" s="582"/>
      <c r="EXL19" s="582"/>
      <c r="EXM19" s="582"/>
      <c r="EXN19" s="582"/>
      <c r="EXO19" s="582"/>
      <c r="EXP19" s="582"/>
      <c r="EXQ19" s="582"/>
      <c r="EXR19" s="582"/>
      <c r="EXS19" s="582"/>
      <c r="EXT19" s="582"/>
      <c r="EXU19" s="582"/>
      <c r="EXV19" s="582"/>
      <c r="EXW19" s="582"/>
      <c r="EXX19" s="582"/>
      <c r="EXY19" s="582"/>
      <c r="EXZ19" s="582"/>
      <c r="EYA19" s="582"/>
      <c r="EYB19" s="582"/>
      <c r="EYC19" s="582"/>
      <c r="EYD19" s="582"/>
      <c r="EYE19" s="582"/>
      <c r="EYF19" s="582"/>
      <c r="EYG19" s="582"/>
      <c r="EYH19" s="582"/>
      <c r="EYI19" s="582"/>
      <c r="EYJ19" s="582"/>
      <c r="EYK19" s="582"/>
      <c r="EYL19" s="582"/>
      <c r="EYM19" s="582"/>
      <c r="EYN19" s="582"/>
      <c r="EYO19" s="582"/>
      <c r="EYP19" s="582"/>
      <c r="EYQ19" s="582"/>
      <c r="EYR19" s="582"/>
      <c r="EYS19" s="582"/>
      <c r="EYT19" s="582"/>
      <c r="EYU19" s="582"/>
      <c r="EYV19" s="582"/>
      <c r="EYW19" s="582"/>
      <c r="EYX19" s="582"/>
      <c r="EYY19" s="582"/>
      <c r="EYZ19" s="582"/>
      <c r="EZA19" s="582"/>
      <c r="EZB19" s="582"/>
      <c r="EZC19" s="582"/>
      <c r="EZD19" s="582"/>
      <c r="EZE19" s="582"/>
      <c r="EZF19" s="582"/>
      <c r="EZG19" s="582"/>
      <c r="EZH19" s="582"/>
      <c r="EZI19" s="582"/>
      <c r="EZJ19" s="582"/>
      <c r="EZK19" s="582"/>
      <c r="EZL19" s="582"/>
      <c r="EZM19" s="582"/>
      <c r="EZN19" s="582"/>
      <c r="EZO19" s="582"/>
      <c r="EZP19" s="582"/>
      <c r="EZQ19" s="582"/>
      <c r="EZR19" s="582"/>
      <c r="EZS19" s="582"/>
      <c r="EZT19" s="582"/>
      <c r="EZU19" s="582"/>
      <c r="EZV19" s="582"/>
      <c r="EZW19" s="582"/>
      <c r="EZX19" s="582"/>
      <c r="EZY19" s="582"/>
      <c r="EZZ19" s="582"/>
      <c r="FAA19" s="582"/>
      <c r="FAB19" s="582"/>
      <c r="FAC19" s="582"/>
      <c r="FAD19" s="582"/>
      <c r="FAE19" s="582"/>
      <c r="FAF19" s="582"/>
      <c r="FAG19" s="582"/>
      <c r="FAH19" s="582"/>
      <c r="FAI19" s="582"/>
      <c r="FAJ19" s="582"/>
      <c r="FAK19" s="582"/>
      <c r="FAL19" s="582"/>
      <c r="FAM19" s="582"/>
      <c r="FAN19" s="582"/>
      <c r="FAO19" s="582"/>
      <c r="FAP19" s="582"/>
      <c r="FAQ19" s="582"/>
      <c r="FAR19" s="582"/>
      <c r="FAS19" s="582"/>
      <c r="FAT19" s="582"/>
      <c r="FAU19" s="582"/>
      <c r="FAV19" s="582"/>
      <c r="FAW19" s="582"/>
      <c r="FAX19" s="582"/>
      <c r="FAY19" s="582"/>
      <c r="FAZ19" s="582"/>
      <c r="FBA19" s="582"/>
      <c r="FBB19" s="582"/>
      <c r="FBC19" s="582"/>
      <c r="FBD19" s="582"/>
      <c r="FBE19" s="582"/>
      <c r="FBF19" s="582"/>
      <c r="FBG19" s="582"/>
      <c r="FBH19" s="582"/>
      <c r="FBI19" s="582"/>
      <c r="FBJ19" s="582"/>
      <c r="FBK19" s="582"/>
      <c r="FBL19" s="582"/>
      <c r="FBM19" s="582"/>
      <c r="FBN19" s="582"/>
      <c r="FBO19" s="582"/>
      <c r="FBP19" s="582"/>
      <c r="FBQ19" s="582"/>
      <c r="FBR19" s="582"/>
      <c r="FBS19" s="582"/>
      <c r="FBT19" s="582"/>
      <c r="FBU19" s="582"/>
      <c r="FBV19" s="582"/>
      <c r="FBW19" s="582"/>
      <c r="FBX19" s="582"/>
      <c r="FBY19" s="582"/>
      <c r="FBZ19" s="582"/>
      <c r="FCA19" s="582"/>
      <c r="FCB19" s="582"/>
      <c r="FCC19" s="582"/>
      <c r="FCD19" s="582"/>
      <c r="FCE19" s="582"/>
      <c r="FCF19" s="582"/>
      <c r="FCG19" s="582"/>
      <c r="FCH19" s="582"/>
      <c r="FCI19" s="582"/>
      <c r="FCJ19" s="582"/>
      <c r="FCK19" s="582"/>
      <c r="FCL19" s="582"/>
      <c r="FCM19" s="582"/>
      <c r="FCN19" s="582"/>
      <c r="FCO19" s="582"/>
      <c r="FCP19" s="582"/>
      <c r="FCQ19" s="582"/>
      <c r="FCR19" s="582"/>
      <c r="FCS19" s="582"/>
      <c r="FCT19" s="582"/>
      <c r="FCU19" s="582"/>
      <c r="FCV19" s="582"/>
      <c r="FCW19" s="582"/>
      <c r="FCX19" s="582"/>
      <c r="FCY19" s="582"/>
      <c r="FCZ19" s="582"/>
      <c r="FDA19" s="582"/>
      <c r="FDB19" s="582"/>
      <c r="FDC19" s="582"/>
      <c r="FDD19" s="582"/>
      <c r="FDE19" s="582"/>
      <c r="FDF19" s="582"/>
      <c r="FDG19" s="582"/>
      <c r="FDH19" s="582"/>
      <c r="FDI19" s="582"/>
      <c r="FDJ19" s="582"/>
      <c r="FDK19" s="582"/>
      <c r="FDL19" s="582"/>
      <c r="FDM19" s="582"/>
      <c r="FDN19" s="582"/>
      <c r="FDO19" s="582"/>
      <c r="FDP19" s="582"/>
      <c r="FDQ19" s="582"/>
      <c r="FDR19" s="582"/>
      <c r="FDS19" s="582"/>
      <c r="FDT19" s="582"/>
      <c r="FDU19" s="582"/>
      <c r="FDV19" s="582"/>
      <c r="FDW19" s="582"/>
      <c r="FDX19" s="582"/>
      <c r="FDY19" s="582"/>
      <c r="FDZ19" s="582"/>
      <c r="FEA19" s="582"/>
      <c r="FEB19" s="582"/>
      <c r="FEC19" s="582"/>
      <c r="FED19" s="582"/>
      <c r="FEE19" s="582"/>
      <c r="FEF19" s="582"/>
      <c r="FEG19" s="582"/>
      <c r="FEH19" s="582"/>
      <c r="FEI19" s="582"/>
      <c r="FEJ19" s="582"/>
      <c r="FEK19" s="582"/>
      <c r="FEL19" s="582"/>
      <c r="FEM19" s="582"/>
      <c r="FEN19" s="582"/>
      <c r="FEO19" s="582"/>
      <c r="FEP19" s="582"/>
      <c r="FEQ19" s="582"/>
      <c r="FER19" s="582"/>
      <c r="FES19" s="582"/>
      <c r="FET19" s="582"/>
      <c r="FEU19" s="582"/>
      <c r="FEV19" s="582"/>
      <c r="FEW19" s="582"/>
      <c r="FEX19" s="582"/>
      <c r="FEY19" s="582"/>
      <c r="FEZ19" s="582"/>
      <c r="FFA19" s="582"/>
      <c r="FFB19" s="582"/>
      <c r="FFC19" s="582"/>
      <c r="FFD19" s="582"/>
      <c r="FFE19" s="582"/>
      <c r="FFF19" s="582"/>
      <c r="FFG19" s="582"/>
      <c r="FFH19" s="582"/>
      <c r="FFI19" s="582"/>
      <c r="FFJ19" s="582"/>
      <c r="FFK19" s="582"/>
      <c r="FFL19" s="582"/>
      <c r="FFM19" s="582"/>
      <c r="FFN19" s="582"/>
      <c r="FFO19" s="582"/>
      <c r="FFP19" s="582"/>
      <c r="FFQ19" s="582"/>
      <c r="FFR19" s="582"/>
      <c r="FFS19" s="582"/>
      <c r="FFT19" s="582"/>
      <c r="FFU19" s="582"/>
      <c r="FFV19" s="582"/>
      <c r="FFW19" s="582"/>
      <c r="FFX19" s="582"/>
      <c r="FFY19" s="582"/>
      <c r="FFZ19" s="582"/>
      <c r="FGA19" s="582"/>
      <c r="FGB19" s="582"/>
      <c r="FGC19" s="582"/>
      <c r="FGD19" s="582"/>
      <c r="FGE19" s="582"/>
      <c r="FGF19" s="582"/>
      <c r="FGG19" s="582"/>
      <c r="FGH19" s="582"/>
      <c r="FGI19" s="582"/>
      <c r="FGJ19" s="582"/>
      <c r="FGK19" s="582"/>
      <c r="FGL19" s="582"/>
      <c r="FGM19" s="582"/>
      <c r="FGN19" s="582"/>
      <c r="FGO19" s="582"/>
      <c r="FGP19" s="582"/>
      <c r="FGQ19" s="582"/>
      <c r="FGR19" s="582"/>
      <c r="FGS19" s="582"/>
      <c r="FGT19" s="582"/>
      <c r="FGU19" s="582"/>
      <c r="FGV19" s="582"/>
      <c r="FGW19" s="582"/>
      <c r="FGX19" s="582"/>
      <c r="FGY19" s="582"/>
      <c r="FGZ19" s="582"/>
      <c r="FHA19" s="582"/>
      <c r="FHB19" s="582"/>
      <c r="FHC19" s="582"/>
      <c r="FHD19" s="582"/>
      <c r="FHE19" s="582"/>
      <c r="FHF19" s="582"/>
      <c r="FHG19" s="582"/>
      <c r="FHH19" s="582"/>
      <c r="FHI19" s="582"/>
      <c r="FHJ19" s="582"/>
      <c r="FHK19" s="582"/>
      <c r="FHL19" s="582"/>
      <c r="FHM19" s="582"/>
      <c r="FHN19" s="582"/>
      <c r="FHO19" s="582"/>
      <c r="FHP19" s="582"/>
      <c r="FHQ19" s="582"/>
      <c r="FHR19" s="582"/>
      <c r="FHS19" s="582"/>
      <c r="FHT19" s="582"/>
      <c r="FHU19" s="582"/>
      <c r="FHV19" s="582"/>
      <c r="FHW19" s="582"/>
      <c r="FHX19" s="582"/>
      <c r="FHY19" s="582"/>
      <c r="FHZ19" s="582"/>
      <c r="FIA19" s="582"/>
      <c r="FIB19" s="582"/>
      <c r="FIC19" s="582"/>
      <c r="FID19" s="582"/>
      <c r="FIE19" s="582"/>
      <c r="FIF19" s="582"/>
      <c r="FIG19" s="582"/>
      <c r="FIH19" s="582"/>
      <c r="FII19" s="582"/>
      <c r="FIJ19" s="582"/>
      <c r="FIK19" s="582"/>
      <c r="FIL19" s="582"/>
      <c r="FIM19" s="582"/>
      <c r="FIN19" s="582"/>
      <c r="FIO19" s="582"/>
      <c r="FIP19" s="582"/>
      <c r="FIQ19" s="582"/>
      <c r="FIR19" s="582"/>
      <c r="FIS19" s="582"/>
      <c r="FIT19" s="582"/>
      <c r="FIU19" s="582"/>
      <c r="FIV19" s="582"/>
      <c r="FIW19" s="582"/>
      <c r="FIX19" s="582"/>
      <c r="FIY19" s="582"/>
      <c r="FIZ19" s="582"/>
      <c r="FJA19" s="582"/>
      <c r="FJB19" s="582"/>
      <c r="FJC19" s="582"/>
      <c r="FJD19" s="582"/>
      <c r="FJE19" s="582"/>
      <c r="FJF19" s="582"/>
      <c r="FJG19" s="582"/>
      <c r="FJH19" s="582"/>
      <c r="FJI19" s="582"/>
      <c r="FJJ19" s="582"/>
      <c r="FJK19" s="582"/>
      <c r="FJL19" s="582"/>
      <c r="FJM19" s="582"/>
      <c r="FJN19" s="582"/>
      <c r="FJO19" s="582"/>
      <c r="FJP19" s="582"/>
      <c r="FJQ19" s="582"/>
      <c r="FJR19" s="582"/>
      <c r="FJS19" s="582"/>
      <c r="FJT19" s="582"/>
      <c r="FJU19" s="582"/>
      <c r="FJV19" s="582"/>
      <c r="FJW19" s="582"/>
      <c r="FJX19" s="582"/>
      <c r="FJY19" s="582"/>
      <c r="FJZ19" s="582"/>
      <c r="FKA19" s="582"/>
      <c r="FKB19" s="582"/>
      <c r="FKC19" s="582"/>
      <c r="FKD19" s="582"/>
      <c r="FKE19" s="582"/>
      <c r="FKF19" s="582"/>
      <c r="FKG19" s="582"/>
      <c r="FKH19" s="582"/>
      <c r="FKI19" s="582"/>
      <c r="FKJ19" s="582"/>
      <c r="FKK19" s="582"/>
      <c r="FKL19" s="582"/>
      <c r="FKM19" s="582"/>
      <c r="FKN19" s="582"/>
      <c r="FKO19" s="582"/>
      <c r="FKP19" s="582"/>
      <c r="FKQ19" s="582"/>
      <c r="FKR19" s="582"/>
      <c r="FKS19" s="582"/>
      <c r="FKT19" s="582"/>
      <c r="FKU19" s="582"/>
      <c r="FKV19" s="582"/>
      <c r="FKW19" s="582"/>
      <c r="FKX19" s="582"/>
      <c r="FKY19" s="582"/>
      <c r="FKZ19" s="582"/>
      <c r="FLA19" s="582"/>
      <c r="FLB19" s="582"/>
      <c r="FLC19" s="582"/>
      <c r="FLD19" s="582"/>
      <c r="FLE19" s="582"/>
      <c r="FLF19" s="582"/>
      <c r="FLG19" s="582"/>
      <c r="FLH19" s="582"/>
      <c r="FLI19" s="582"/>
      <c r="FLJ19" s="582"/>
      <c r="FLK19" s="582"/>
      <c r="FLL19" s="582"/>
      <c r="FLM19" s="582"/>
      <c r="FLN19" s="582"/>
      <c r="FLO19" s="582"/>
      <c r="FLP19" s="582"/>
      <c r="FLQ19" s="582"/>
      <c r="FLR19" s="582"/>
      <c r="FLS19" s="582"/>
      <c r="FLT19" s="582"/>
      <c r="FLU19" s="582"/>
      <c r="FLV19" s="582"/>
      <c r="FLW19" s="582"/>
      <c r="FLX19" s="582"/>
      <c r="FLY19" s="582"/>
      <c r="FLZ19" s="582"/>
      <c r="FMA19" s="582"/>
      <c r="FMB19" s="582"/>
      <c r="FMC19" s="582"/>
      <c r="FMD19" s="582"/>
      <c r="FME19" s="582"/>
      <c r="FMF19" s="582"/>
      <c r="FMG19" s="582"/>
      <c r="FMH19" s="582"/>
      <c r="FMI19" s="582"/>
      <c r="FMJ19" s="582"/>
      <c r="FMK19" s="582"/>
      <c r="FML19" s="582"/>
      <c r="FMM19" s="582"/>
      <c r="FMN19" s="582"/>
      <c r="FMO19" s="582"/>
      <c r="FMP19" s="582"/>
      <c r="FMQ19" s="582"/>
      <c r="FMR19" s="582"/>
      <c r="FMS19" s="582"/>
      <c r="FMT19" s="582"/>
      <c r="FMU19" s="582"/>
      <c r="FMV19" s="582"/>
      <c r="FMW19" s="582"/>
      <c r="FMX19" s="582"/>
      <c r="FMY19" s="582"/>
      <c r="FMZ19" s="582"/>
      <c r="FNA19" s="582"/>
      <c r="FNB19" s="582"/>
      <c r="FNC19" s="582"/>
      <c r="FND19" s="582"/>
      <c r="FNE19" s="582"/>
      <c r="FNF19" s="582"/>
      <c r="FNG19" s="582"/>
      <c r="FNH19" s="582"/>
      <c r="FNI19" s="582"/>
      <c r="FNJ19" s="582"/>
      <c r="FNK19" s="582"/>
      <c r="FNL19" s="582"/>
      <c r="FNM19" s="582"/>
      <c r="FNN19" s="582"/>
      <c r="FNO19" s="582"/>
      <c r="FNP19" s="582"/>
      <c r="FNQ19" s="582"/>
      <c r="FNR19" s="582"/>
      <c r="FNS19" s="582"/>
      <c r="FNT19" s="582"/>
      <c r="FNU19" s="582"/>
      <c r="FNV19" s="582"/>
      <c r="FNW19" s="582"/>
      <c r="FNX19" s="582"/>
      <c r="FNY19" s="582"/>
      <c r="FNZ19" s="582"/>
      <c r="FOA19" s="582"/>
      <c r="FOB19" s="582"/>
      <c r="FOC19" s="582"/>
      <c r="FOD19" s="582"/>
      <c r="FOE19" s="582"/>
      <c r="FOF19" s="582"/>
      <c r="FOG19" s="582"/>
      <c r="FOH19" s="582"/>
      <c r="FOI19" s="582"/>
      <c r="FOJ19" s="582"/>
      <c r="FOK19" s="582"/>
      <c r="FOL19" s="582"/>
      <c r="FOM19" s="582"/>
      <c r="FON19" s="582"/>
      <c r="FOO19" s="582"/>
      <c r="FOP19" s="582"/>
      <c r="FOQ19" s="582"/>
      <c r="FOR19" s="582"/>
      <c r="FOS19" s="582"/>
      <c r="FOT19" s="582"/>
      <c r="FOU19" s="582"/>
      <c r="FOV19" s="582"/>
      <c r="FOW19" s="582"/>
      <c r="FOX19" s="582"/>
      <c r="FOY19" s="582"/>
      <c r="FOZ19" s="582"/>
      <c r="FPA19" s="582"/>
      <c r="FPB19" s="582"/>
      <c r="FPC19" s="582"/>
      <c r="FPD19" s="582"/>
      <c r="FPE19" s="582"/>
      <c r="FPF19" s="582"/>
      <c r="FPG19" s="582"/>
      <c r="FPH19" s="582"/>
      <c r="FPI19" s="582"/>
      <c r="FPJ19" s="582"/>
      <c r="FPK19" s="582"/>
      <c r="FPL19" s="582"/>
      <c r="FPM19" s="582"/>
      <c r="FPN19" s="582"/>
      <c r="FPO19" s="582"/>
      <c r="FPP19" s="582"/>
      <c r="FPQ19" s="582"/>
      <c r="FPR19" s="582"/>
      <c r="FPS19" s="582"/>
      <c r="FPT19" s="582"/>
      <c r="FPU19" s="582"/>
      <c r="FPV19" s="582"/>
      <c r="FPW19" s="582"/>
      <c r="FPX19" s="582"/>
      <c r="FPY19" s="582"/>
      <c r="FPZ19" s="582"/>
      <c r="FQA19" s="582"/>
      <c r="FQB19" s="582"/>
      <c r="FQC19" s="582"/>
      <c r="FQD19" s="582"/>
      <c r="FQE19" s="582"/>
      <c r="FQF19" s="582"/>
      <c r="FQG19" s="582"/>
      <c r="FQH19" s="582"/>
      <c r="FQI19" s="582"/>
      <c r="FQJ19" s="582"/>
      <c r="FQK19" s="582"/>
      <c r="FQL19" s="582"/>
      <c r="FQM19" s="582"/>
      <c r="FQN19" s="582"/>
      <c r="FQO19" s="582"/>
      <c r="FQP19" s="582"/>
      <c r="FQQ19" s="582"/>
      <c r="FQR19" s="582"/>
      <c r="FQS19" s="582"/>
      <c r="FQT19" s="582"/>
      <c r="FQU19" s="582"/>
      <c r="FQV19" s="582"/>
      <c r="FQW19" s="582"/>
      <c r="FQX19" s="582"/>
      <c r="FQY19" s="582"/>
      <c r="FQZ19" s="582"/>
      <c r="FRA19" s="582"/>
      <c r="FRB19" s="582"/>
      <c r="FRC19" s="582"/>
      <c r="FRD19" s="582"/>
      <c r="FRE19" s="582"/>
      <c r="FRF19" s="582"/>
      <c r="FRG19" s="582"/>
      <c r="FRH19" s="582"/>
      <c r="FRI19" s="582"/>
      <c r="FRJ19" s="582"/>
      <c r="FRK19" s="582"/>
      <c r="FRL19" s="582"/>
      <c r="FRM19" s="582"/>
      <c r="FRN19" s="582"/>
      <c r="FRO19" s="582"/>
      <c r="FRP19" s="582"/>
      <c r="FRQ19" s="582"/>
      <c r="FRR19" s="582"/>
      <c r="FRS19" s="582"/>
      <c r="FRT19" s="582"/>
      <c r="FRU19" s="582"/>
      <c r="FRV19" s="582"/>
      <c r="FRW19" s="582"/>
      <c r="FRX19" s="582"/>
      <c r="FRY19" s="582"/>
      <c r="FRZ19" s="582"/>
      <c r="FSA19" s="582"/>
      <c r="FSB19" s="582"/>
      <c r="FSC19" s="582"/>
      <c r="FSD19" s="582"/>
      <c r="FSE19" s="582"/>
      <c r="FSF19" s="582"/>
      <c r="FSG19" s="582"/>
      <c r="FSH19" s="582"/>
      <c r="FSI19" s="582"/>
      <c r="FSJ19" s="582"/>
      <c r="FSK19" s="582"/>
      <c r="FSL19" s="582"/>
      <c r="FSM19" s="582"/>
      <c r="FSN19" s="582"/>
      <c r="FSO19" s="582"/>
      <c r="FSP19" s="582"/>
      <c r="FSQ19" s="582"/>
      <c r="FSR19" s="582"/>
      <c r="FSS19" s="582"/>
      <c r="FST19" s="582"/>
      <c r="FSU19" s="582"/>
      <c r="FSV19" s="582"/>
      <c r="FSW19" s="582"/>
      <c r="FSX19" s="582"/>
      <c r="FSY19" s="582"/>
      <c r="FSZ19" s="582"/>
      <c r="FTA19" s="582"/>
      <c r="FTB19" s="582"/>
      <c r="FTC19" s="582"/>
      <c r="FTD19" s="582"/>
      <c r="FTE19" s="582"/>
      <c r="FTF19" s="582"/>
      <c r="FTG19" s="582"/>
      <c r="FTH19" s="582"/>
      <c r="FTI19" s="582"/>
      <c r="FTJ19" s="582"/>
      <c r="FTK19" s="582"/>
      <c r="FTL19" s="582"/>
      <c r="FTM19" s="582"/>
      <c r="FTN19" s="582"/>
      <c r="FTO19" s="582"/>
      <c r="FTP19" s="582"/>
      <c r="FTQ19" s="582"/>
      <c r="FTR19" s="582"/>
      <c r="FTS19" s="582"/>
      <c r="FTT19" s="582"/>
      <c r="FTU19" s="582"/>
      <c r="FTV19" s="582"/>
      <c r="FTW19" s="582"/>
      <c r="FTX19" s="582"/>
      <c r="FTY19" s="582"/>
      <c r="FTZ19" s="582"/>
      <c r="FUA19" s="582"/>
      <c r="FUB19" s="582"/>
      <c r="FUC19" s="582"/>
      <c r="FUD19" s="582"/>
      <c r="FUE19" s="582"/>
      <c r="FUF19" s="582"/>
      <c r="FUG19" s="582"/>
      <c r="FUH19" s="582"/>
      <c r="FUI19" s="582"/>
      <c r="FUJ19" s="582"/>
      <c r="FUK19" s="582"/>
      <c r="FUL19" s="582"/>
      <c r="FUM19" s="582"/>
      <c r="FUN19" s="582"/>
      <c r="FUO19" s="582"/>
      <c r="FUP19" s="582"/>
      <c r="FUQ19" s="582"/>
      <c r="FUR19" s="582"/>
      <c r="FUS19" s="582"/>
      <c r="FUT19" s="582"/>
      <c r="FUU19" s="582"/>
      <c r="FUV19" s="582"/>
      <c r="FUW19" s="582"/>
      <c r="FUX19" s="582"/>
      <c r="FUY19" s="582"/>
      <c r="FUZ19" s="582"/>
      <c r="FVA19" s="582"/>
      <c r="FVB19" s="582"/>
      <c r="FVC19" s="582"/>
      <c r="FVD19" s="582"/>
      <c r="FVE19" s="582"/>
      <c r="FVF19" s="582"/>
      <c r="FVG19" s="582"/>
      <c r="FVH19" s="582"/>
      <c r="FVI19" s="582"/>
      <c r="FVJ19" s="582"/>
      <c r="FVK19" s="582"/>
      <c r="FVL19" s="582"/>
      <c r="FVM19" s="582"/>
      <c r="FVN19" s="582"/>
      <c r="FVO19" s="582"/>
      <c r="FVP19" s="582"/>
      <c r="FVQ19" s="582"/>
      <c r="FVR19" s="582"/>
      <c r="FVS19" s="582"/>
      <c r="FVT19" s="582"/>
      <c r="FVU19" s="582"/>
      <c r="FVV19" s="582"/>
      <c r="FVW19" s="582"/>
      <c r="FVX19" s="582"/>
      <c r="FVY19" s="582"/>
      <c r="FVZ19" s="582"/>
      <c r="FWA19" s="582"/>
      <c r="FWB19" s="582"/>
      <c r="FWC19" s="582"/>
      <c r="FWD19" s="582"/>
      <c r="FWE19" s="582"/>
      <c r="FWF19" s="582"/>
      <c r="FWG19" s="582"/>
      <c r="FWH19" s="582"/>
      <c r="FWI19" s="582"/>
      <c r="FWJ19" s="582"/>
      <c r="FWK19" s="582"/>
      <c r="FWL19" s="582"/>
      <c r="FWM19" s="582"/>
      <c r="FWN19" s="582"/>
      <c r="FWO19" s="582"/>
      <c r="FWP19" s="582"/>
      <c r="FWQ19" s="582"/>
      <c r="FWR19" s="582"/>
      <c r="FWS19" s="582"/>
      <c r="FWT19" s="582"/>
      <c r="FWU19" s="582"/>
      <c r="FWV19" s="582"/>
      <c r="FWW19" s="582"/>
      <c r="FWX19" s="582"/>
      <c r="FWY19" s="582"/>
      <c r="FWZ19" s="582"/>
      <c r="FXA19" s="582"/>
      <c r="FXB19" s="582"/>
      <c r="FXC19" s="582"/>
      <c r="FXD19" s="582"/>
      <c r="FXE19" s="582"/>
      <c r="FXF19" s="582"/>
      <c r="FXG19" s="582"/>
      <c r="FXH19" s="582"/>
      <c r="FXI19" s="582"/>
      <c r="FXJ19" s="582"/>
      <c r="FXK19" s="582"/>
      <c r="FXL19" s="582"/>
      <c r="FXM19" s="582"/>
      <c r="FXN19" s="582"/>
      <c r="FXO19" s="582"/>
      <c r="FXP19" s="582"/>
      <c r="FXQ19" s="582"/>
      <c r="FXR19" s="582"/>
      <c r="FXS19" s="582"/>
      <c r="FXT19" s="582"/>
      <c r="FXU19" s="582"/>
      <c r="FXV19" s="582"/>
      <c r="FXW19" s="582"/>
      <c r="FXX19" s="582"/>
      <c r="FXY19" s="582"/>
      <c r="FXZ19" s="582"/>
      <c r="FYA19" s="582"/>
      <c r="FYB19" s="582"/>
      <c r="FYC19" s="582"/>
      <c r="FYD19" s="582"/>
      <c r="FYE19" s="582"/>
      <c r="FYF19" s="582"/>
      <c r="FYG19" s="582"/>
      <c r="FYH19" s="582"/>
      <c r="FYI19" s="582"/>
      <c r="FYJ19" s="582"/>
      <c r="FYK19" s="582"/>
      <c r="FYL19" s="582"/>
      <c r="FYM19" s="582"/>
      <c r="FYN19" s="582"/>
      <c r="FYO19" s="582"/>
      <c r="FYP19" s="582"/>
      <c r="FYQ19" s="582"/>
      <c r="FYR19" s="582"/>
      <c r="FYS19" s="582"/>
      <c r="FYT19" s="582"/>
      <c r="FYU19" s="582"/>
      <c r="FYV19" s="582"/>
      <c r="FYW19" s="582"/>
      <c r="FYX19" s="582"/>
      <c r="FYY19" s="582"/>
      <c r="FYZ19" s="582"/>
      <c r="FZA19" s="582"/>
      <c r="FZB19" s="582"/>
      <c r="FZC19" s="582"/>
      <c r="FZD19" s="582"/>
      <c r="FZE19" s="582"/>
      <c r="FZF19" s="582"/>
      <c r="FZG19" s="582"/>
      <c r="FZH19" s="582"/>
      <c r="FZI19" s="582"/>
      <c r="FZJ19" s="582"/>
      <c r="FZK19" s="582"/>
      <c r="FZL19" s="582"/>
      <c r="FZM19" s="582"/>
      <c r="FZN19" s="582"/>
      <c r="FZO19" s="582"/>
      <c r="FZP19" s="582"/>
      <c r="FZQ19" s="582"/>
      <c r="FZR19" s="582"/>
      <c r="FZS19" s="582"/>
      <c r="FZT19" s="582"/>
      <c r="FZU19" s="582"/>
      <c r="FZV19" s="582"/>
      <c r="FZW19" s="582"/>
      <c r="FZX19" s="582"/>
      <c r="FZY19" s="582"/>
      <c r="FZZ19" s="582"/>
      <c r="GAA19" s="582"/>
      <c r="GAB19" s="582"/>
      <c r="GAC19" s="582"/>
      <c r="GAD19" s="582"/>
      <c r="GAE19" s="582"/>
      <c r="GAF19" s="582"/>
      <c r="GAG19" s="582"/>
      <c r="GAH19" s="582"/>
      <c r="GAI19" s="582"/>
      <c r="GAJ19" s="582"/>
      <c r="GAK19" s="582"/>
      <c r="GAL19" s="582"/>
      <c r="GAM19" s="582"/>
      <c r="GAN19" s="582"/>
      <c r="GAO19" s="582"/>
      <c r="GAP19" s="582"/>
      <c r="GAQ19" s="582"/>
      <c r="GAR19" s="582"/>
      <c r="GAS19" s="582"/>
      <c r="GAT19" s="582"/>
      <c r="GAU19" s="582"/>
      <c r="GAV19" s="582"/>
      <c r="GAW19" s="582"/>
      <c r="GAX19" s="582"/>
      <c r="GAY19" s="582"/>
      <c r="GAZ19" s="582"/>
      <c r="GBA19" s="582"/>
      <c r="GBB19" s="582"/>
      <c r="GBC19" s="582"/>
      <c r="GBD19" s="582"/>
      <c r="GBE19" s="582"/>
      <c r="GBF19" s="582"/>
      <c r="GBG19" s="582"/>
      <c r="GBH19" s="582"/>
      <c r="GBI19" s="582"/>
      <c r="GBJ19" s="582"/>
      <c r="GBK19" s="582"/>
      <c r="GBL19" s="582"/>
      <c r="GBM19" s="582"/>
      <c r="GBN19" s="582"/>
      <c r="GBO19" s="582"/>
      <c r="GBP19" s="582"/>
      <c r="GBQ19" s="582"/>
      <c r="GBR19" s="582"/>
      <c r="GBS19" s="582"/>
      <c r="GBT19" s="582"/>
      <c r="GBU19" s="582"/>
      <c r="GBV19" s="582"/>
      <c r="GBW19" s="582"/>
      <c r="GBX19" s="582"/>
      <c r="GBY19" s="582"/>
      <c r="GBZ19" s="582"/>
      <c r="GCA19" s="582"/>
      <c r="GCB19" s="582"/>
      <c r="GCC19" s="582"/>
      <c r="GCD19" s="582"/>
      <c r="GCE19" s="582"/>
      <c r="GCF19" s="582"/>
      <c r="GCG19" s="582"/>
      <c r="GCH19" s="582"/>
      <c r="GCI19" s="582"/>
      <c r="GCJ19" s="582"/>
      <c r="GCK19" s="582"/>
      <c r="GCL19" s="582"/>
      <c r="GCM19" s="582"/>
      <c r="GCN19" s="582"/>
      <c r="GCO19" s="582"/>
      <c r="GCP19" s="582"/>
      <c r="GCQ19" s="582"/>
      <c r="GCR19" s="582"/>
      <c r="GCS19" s="582"/>
      <c r="GCT19" s="582"/>
      <c r="GCU19" s="582"/>
      <c r="GCV19" s="582"/>
      <c r="GCW19" s="582"/>
      <c r="GCX19" s="582"/>
      <c r="GCY19" s="582"/>
      <c r="GCZ19" s="582"/>
      <c r="GDA19" s="582"/>
      <c r="GDB19" s="582"/>
      <c r="GDC19" s="582"/>
      <c r="GDD19" s="582"/>
      <c r="GDE19" s="582"/>
      <c r="GDF19" s="582"/>
      <c r="GDG19" s="582"/>
      <c r="GDH19" s="582"/>
      <c r="GDI19" s="582"/>
      <c r="GDJ19" s="582"/>
      <c r="GDK19" s="582"/>
      <c r="GDL19" s="582"/>
      <c r="GDM19" s="582"/>
      <c r="GDN19" s="582"/>
      <c r="GDO19" s="582"/>
      <c r="GDP19" s="582"/>
      <c r="GDQ19" s="582"/>
      <c r="GDR19" s="582"/>
      <c r="GDS19" s="582"/>
      <c r="GDT19" s="582"/>
      <c r="GDU19" s="582"/>
      <c r="GDV19" s="582"/>
      <c r="GDW19" s="582"/>
      <c r="GDX19" s="582"/>
      <c r="GDY19" s="582"/>
      <c r="GDZ19" s="582"/>
      <c r="GEA19" s="582"/>
      <c r="GEB19" s="582"/>
      <c r="GEC19" s="582"/>
      <c r="GED19" s="582"/>
      <c r="GEE19" s="582"/>
      <c r="GEF19" s="582"/>
      <c r="GEG19" s="582"/>
      <c r="GEH19" s="582"/>
      <c r="GEI19" s="582"/>
      <c r="GEJ19" s="582"/>
      <c r="GEK19" s="582"/>
      <c r="GEL19" s="582"/>
      <c r="GEM19" s="582"/>
      <c r="GEN19" s="582"/>
      <c r="GEO19" s="582"/>
      <c r="GEP19" s="582"/>
      <c r="GEQ19" s="582"/>
      <c r="GER19" s="582"/>
      <c r="GES19" s="582"/>
      <c r="GET19" s="582"/>
      <c r="GEU19" s="582"/>
      <c r="GEV19" s="582"/>
      <c r="GEW19" s="582"/>
      <c r="GEX19" s="582"/>
      <c r="GEY19" s="582"/>
      <c r="GEZ19" s="582"/>
      <c r="GFA19" s="582"/>
      <c r="GFB19" s="582"/>
      <c r="GFC19" s="582"/>
      <c r="GFD19" s="582"/>
      <c r="GFE19" s="582"/>
      <c r="GFF19" s="582"/>
      <c r="GFG19" s="582"/>
      <c r="GFH19" s="582"/>
      <c r="GFI19" s="582"/>
      <c r="GFJ19" s="582"/>
      <c r="GFK19" s="582"/>
      <c r="GFL19" s="582"/>
      <c r="GFM19" s="582"/>
      <c r="GFN19" s="582"/>
      <c r="GFO19" s="582"/>
      <c r="GFP19" s="582"/>
      <c r="GFQ19" s="582"/>
      <c r="GFR19" s="582"/>
      <c r="GFS19" s="582"/>
      <c r="GFT19" s="582"/>
      <c r="GFU19" s="582"/>
      <c r="GFV19" s="582"/>
      <c r="GFW19" s="582"/>
      <c r="GFX19" s="582"/>
      <c r="GFY19" s="582"/>
      <c r="GFZ19" s="582"/>
      <c r="GGA19" s="582"/>
      <c r="GGB19" s="582"/>
      <c r="GGC19" s="582"/>
      <c r="GGD19" s="582"/>
      <c r="GGE19" s="582"/>
      <c r="GGF19" s="582"/>
      <c r="GGG19" s="582"/>
      <c r="GGH19" s="582"/>
      <c r="GGI19" s="582"/>
      <c r="GGJ19" s="582"/>
      <c r="GGK19" s="582"/>
      <c r="GGL19" s="582"/>
      <c r="GGM19" s="582"/>
      <c r="GGN19" s="582"/>
      <c r="GGO19" s="582"/>
      <c r="GGP19" s="582"/>
      <c r="GGQ19" s="582"/>
      <c r="GGR19" s="582"/>
      <c r="GGS19" s="582"/>
      <c r="GGT19" s="582"/>
      <c r="GGU19" s="582"/>
      <c r="GGV19" s="582"/>
      <c r="GGW19" s="582"/>
      <c r="GGX19" s="582"/>
      <c r="GGY19" s="582"/>
      <c r="GGZ19" s="582"/>
      <c r="GHA19" s="582"/>
      <c r="GHB19" s="582"/>
      <c r="GHC19" s="582"/>
      <c r="GHD19" s="582"/>
      <c r="GHE19" s="582"/>
      <c r="GHF19" s="582"/>
      <c r="GHG19" s="582"/>
      <c r="GHH19" s="582"/>
      <c r="GHI19" s="582"/>
      <c r="GHJ19" s="582"/>
      <c r="GHK19" s="582"/>
      <c r="GHL19" s="582"/>
      <c r="GHM19" s="582"/>
      <c r="GHN19" s="582"/>
      <c r="GHO19" s="582"/>
      <c r="GHP19" s="582"/>
      <c r="GHQ19" s="582"/>
      <c r="GHR19" s="582"/>
      <c r="GHS19" s="582"/>
      <c r="GHT19" s="582"/>
      <c r="GHU19" s="582"/>
      <c r="GHV19" s="582"/>
      <c r="GHW19" s="582"/>
      <c r="GHX19" s="582"/>
      <c r="GHY19" s="582"/>
      <c r="GHZ19" s="582"/>
      <c r="GIA19" s="582"/>
      <c r="GIB19" s="582"/>
      <c r="GIC19" s="582"/>
      <c r="GID19" s="582"/>
      <c r="GIE19" s="582"/>
      <c r="GIF19" s="582"/>
      <c r="GIG19" s="582"/>
      <c r="GIH19" s="582"/>
      <c r="GII19" s="582"/>
      <c r="GIJ19" s="582"/>
      <c r="GIK19" s="582"/>
      <c r="GIL19" s="582"/>
      <c r="GIM19" s="582"/>
      <c r="GIN19" s="582"/>
      <c r="GIO19" s="582"/>
      <c r="GIP19" s="582"/>
      <c r="GIQ19" s="582"/>
      <c r="GIR19" s="582"/>
      <c r="GIS19" s="582"/>
      <c r="GIT19" s="582"/>
      <c r="GIU19" s="582"/>
      <c r="GIV19" s="582"/>
      <c r="GIW19" s="582"/>
      <c r="GIX19" s="582"/>
      <c r="GIY19" s="582"/>
      <c r="GIZ19" s="582"/>
      <c r="GJA19" s="582"/>
      <c r="GJB19" s="582"/>
      <c r="GJC19" s="582"/>
      <c r="GJD19" s="582"/>
      <c r="GJE19" s="582"/>
      <c r="GJF19" s="582"/>
      <c r="GJG19" s="582"/>
      <c r="GJH19" s="582"/>
      <c r="GJI19" s="582"/>
      <c r="GJJ19" s="582"/>
      <c r="GJK19" s="582"/>
      <c r="GJL19" s="582"/>
      <c r="GJM19" s="582"/>
      <c r="GJN19" s="582"/>
      <c r="GJO19" s="582"/>
      <c r="GJP19" s="582"/>
      <c r="GJQ19" s="582"/>
      <c r="GJR19" s="582"/>
      <c r="GJS19" s="582"/>
      <c r="GJT19" s="582"/>
      <c r="GJU19" s="582"/>
      <c r="GJV19" s="582"/>
      <c r="GJW19" s="582"/>
      <c r="GJX19" s="582"/>
      <c r="GJY19" s="582"/>
      <c r="GJZ19" s="582"/>
      <c r="GKA19" s="582"/>
      <c r="GKB19" s="582"/>
      <c r="GKC19" s="582"/>
      <c r="GKD19" s="582"/>
      <c r="GKE19" s="582"/>
      <c r="GKF19" s="582"/>
      <c r="GKG19" s="582"/>
      <c r="GKH19" s="582"/>
      <c r="GKI19" s="582"/>
      <c r="GKJ19" s="582"/>
      <c r="GKK19" s="582"/>
      <c r="GKL19" s="582"/>
      <c r="GKM19" s="582"/>
      <c r="GKN19" s="582"/>
      <c r="GKO19" s="582"/>
      <c r="GKP19" s="582"/>
      <c r="GKQ19" s="582"/>
      <c r="GKR19" s="582"/>
      <c r="GKS19" s="582"/>
      <c r="GKT19" s="582"/>
      <c r="GKU19" s="582"/>
      <c r="GKV19" s="582"/>
      <c r="GKW19" s="582"/>
      <c r="GKX19" s="582"/>
      <c r="GKY19" s="582"/>
      <c r="GKZ19" s="582"/>
      <c r="GLA19" s="582"/>
      <c r="GLB19" s="582"/>
      <c r="GLC19" s="582"/>
      <c r="GLD19" s="582"/>
      <c r="GLE19" s="582"/>
      <c r="GLF19" s="582"/>
      <c r="GLG19" s="582"/>
      <c r="GLH19" s="582"/>
      <c r="GLI19" s="582"/>
      <c r="GLJ19" s="582"/>
      <c r="GLK19" s="582"/>
      <c r="GLL19" s="582"/>
      <c r="GLM19" s="582"/>
      <c r="GLN19" s="582"/>
      <c r="GLO19" s="582"/>
      <c r="GLP19" s="582"/>
      <c r="GLQ19" s="582"/>
      <c r="GLR19" s="582"/>
      <c r="GLS19" s="582"/>
      <c r="GLT19" s="582"/>
      <c r="GLU19" s="582"/>
      <c r="GLV19" s="582"/>
      <c r="GLW19" s="582"/>
      <c r="GLX19" s="582"/>
      <c r="GLY19" s="582"/>
      <c r="GLZ19" s="582"/>
      <c r="GMA19" s="582"/>
      <c r="GMB19" s="582"/>
      <c r="GMC19" s="582"/>
      <c r="GMD19" s="582"/>
      <c r="GME19" s="582"/>
      <c r="GMF19" s="582"/>
      <c r="GMG19" s="582"/>
      <c r="GMH19" s="582"/>
      <c r="GMI19" s="582"/>
      <c r="GMJ19" s="582"/>
      <c r="GMK19" s="582"/>
      <c r="GML19" s="582"/>
      <c r="GMM19" s="582"/>
      <c r="GMN19" s="582"/>
      <c r="GMO19" s="582"/>
      <c r="GMP19" s="582"/>
      <c r="GMQ19" s="582"/>
      <c r="GMR19" s="582"/>
      <c r="GMS19" s="582"/>
      <c r="GMT19" s="582"/>
      <c r="GMU19" s="582"/>
      <c r="GMV19" s="582"/>
      <c r="GMW19" s="582"/>
      <c r="GMX19" s="582"/>
      <c r="GMY19" s="582"/>
      <c r="GMZ19" s="582"/>
      <c r="GNA19" s="582"/>
      <c r="GNB19" s="582"/>
      <c r="GNC19" s="582"/>
      <c r="GND19" s="582"/>
      <c r="GNE19" s="582"/>
      <c r="GNF19" s="582"/>
      <c r="GNG19" s="582"/>
      <c r="GNH19" s="582"/>
      <c r="GNI19" s="582"/>
      <c r="GNJ19" s="582"/>
      <c r="GNK19" s="582"/>
      <c r="GNL19" s="582"/>
      <c r="GNM19" s="582"/>
      <c r="GNN19" s="582"/>
      <c r="GNO19" s="582"/>
      <c r="GNP19" s="582"/>
      <c r="GNQ19" s="582"/>
      <c r="GNR19" s="582"/>
      <c r="GNS19" s="582"/>
      <c r="GNT19" s="582"/>
      <c r="GNU19" s="582"/>
      <c r="GNV19" s="582"/>
      <c r="GNW19" s="582"/>
      <c r="GNX19" s="582"/>
      <c r="GNY19" s="582"/>
      <c r="GNZ19" s="582"/>
      <c r="GOA19" s="582"/>
      <c r="GOB19" s="582"/>
      <c r="GOC19" s="582"/>
      <c r="GOD19" s="582"/>
      <c r="GOE19" s="582"/>
      <c r="GOF19" s="582"/>
      <c r="GOG19" s="582"/>
      <c r="GOH19" s="582"/>
      <c r="GOI19" s="582"/>
      <c r="GOJ19" s="582"/>
      <c r="GOK19" s="582"/>
      <c r="GOL19" s="582"/>
      <c r="GOM19" s="582"/>
      <c r="GON19" s="582"/>
      <c r="GOO19" s="582"/>
      <c r="GOP19" s="582"/>
      <c r="GOQ19" s="582"/>
      <c r="GOR19" s="582"/>
      <c r="GOS19" s="582"/>
      <c r="GOT19" s="582"/>
      <c r="GOU19" s="582"/>
      <c r="GOV19" s="582"/>
      <c r="GOW19" s="582"/>
      <c r="GOX19" s="582"/>
      <c r="GOY19" s="582"/>
      <c r="GOZ19" s="582"/>
      <c r="GPA19" s="582"/>
      <c r="GPB19" s="582"/>
      <c r="GPC19" s="582"/>
      <c r="GPD19" s="582"/>
      <c r="GPE19" s="582"/>
      <c r="GPF19" s="582"/>
      <c r="GPG19" s="582"/>
      <c r="GPH19" s="582"/>
      <c r="GPI19" s="582"/>
      <c r="GPJ19" s="582"/>
      <c r="GPK19" s="582"/>
      <c r="GPL19" s="582"/>
      <c r="GPM19" s="582"/>
      <c r="GPN19" s="582"/>
      <c r="GPO19" s="582"/>
      <c r="GPP19" s="582"/>
      <c r="GPQ19" s="582"/>
      <c r="GPR19" s="582"/>
      <c r="GPS19" s="582"/>
      <c r="GPT19" s="582"/>
      <c r="GPU19" s="582"/>
      <c r="GPV19" s="582"/>
      <c r="GPW19" s="582"/>
      <c r="GPX19" s="582"/>
      <c r="GPY19" s="582"/>
      <c r="GPZ19" s="582"/>
      <c r="GQA19" s="582"/>
      <c r="GQB19" s="582"/>
      <c r="GQC19" s="582"/>
      <c r="GQD19" s="582"/>
      <c r="GQE19" s="582"/>
      <c r="GQF19" s="582"/>
      <c r="GQG19" s="582"/>
      <c r="GQH19" s="582"/>
      <c r="GQI19" s="582"/>
      <c r="GQJ19" s="582"/>
      <c r="GQK19" s="582"/>
      <c r="GQL19" s="582"/>
      <c r="GQM19" s="582"/>
      <c r="GQN19" s="582"/>
      <c r="GQO19" s="582"/>
      <c r="GQP19" s="582"/>
      <c r="GQQ19" s="582"/>
      <c r="GQR19" s="582"/>
      <c r="GQS19" s="582"/>
      <c r="GQT19" s="582"/>
      <c r="GQU19" s="582"/>
      <c r="GQV19" s="582"/>
      <c r="GQW19" s="582"/>
      <c r="GQX19" s="582"/>
      <c r="GQY19" s="582"/>
      <c r="GQZ19" s="582"/>
      <c r="GRA19" s="582"/>
      <c r="GRB19" s="582"/>
      <c r="GRC19" s="582"/>
      <c r="GRD19" s="582"/>
      <c r="GRE19" s="582"/>
      <c r="GRF19" s="582"/>
      <c r="GRG19" s="582"/>
      <c r="GRH19" s="582"/>
      <c r="GRI19" s="582"/>
      <c r="GRJ19" s="582"/>
      <c r="GRK19" s="582"/>
      <c r="GRL19" s="582"/>
      <c r="GRM19" s="582"/>
      <c r="GRN19" s="582"/>
      <c r="GRO19" s="582"/>
      <c r="GRP19" s="582"/>
      <c r="GRQ19" s="582"/>
      <c r="GRR19" s="582"/>
      <c r="GRS19" s="582"/>
      <c r="GRT19" s="582"/>
      <c r="GRU19" s="582"/>
      <c r="GRV19" s="582"/>
      <c r="GRW19" s="582"/>
      <c r="GRX19" s="582"/>
      <c r="GRY19" s="582"/>
      <c r="GRZ19" s="582"/>
      <c r="GSA19" s="582"/>
      <c r="GSB19" s="582"/>
      <c r="GSC19" s="582"/>
      <c r="GSD19" s="582"/>
      <c r="GSE19" s="582"/>
      <c r="GSF19" s="582"/>
      <c r="GSG19" s="582"/>
      <c r="GSH19" s="582"/>
      <c r="GSI19" s="582"/>
      <c r="GSJ19" s="582"/>
      <c r="GSK19" s="582"/>
      <c r="GSL19" s="582"/>
      <c r="GSM19" s="582"/>
      <c r="GSN19" s="582"/>
      <c r="GSO19" s="582"/>
      <c r="GSP19" s="582"/>
      <c r="GSQ19" s="582"/>
      <c r="GSR19" s="582"/>
      <c r="GSS19" s="582"/>
      <c r="GST19" s="582"/>
      <c r="GSU19" s="582"/>
      <c r="GSV19" s="582"/>
      <c r="GSW19" s="582"/>
      <c r="GSX19" s="582"/>
      <c r="GSY19" s="582"/>
      <c r="GSZ19" s="582"/>
      <c r="GTA19" s="582"/>
      <c r="GTB19" s="582"/>
      <c r="GTC19" s="582"/>
      <c r="GTD19" s="582"/>
      <c r="GTE19" s="582"/>
      <c r="GTF19" s="582"/>
      <c r="GTG19" s="582"/>
      <c r="GTH19" s="582"/>
      <c r="GTI19" s="582"/>
      <c r="GTJ19" s="582"/>
      <c r="GTK19" s="582"/>
      <c r="GTL19" s="582"/>
      <c r="GTM19" s="582"/>
      <c r="GTN19" s="582"/>
      <c r="GTO19" s="582"/>
      <c r="GTP19" s="582"/>
      <c r="GTQ19" s="582"/>
      <c r="GTR19" s="582"/>
      <c r="GTS19" s="582"/>
      <c r="GTT19" s="582"/>
      <c r="GTU19" s="582"/>
      <c r="GTV19" s="582"/>
      <c r="GTW19" s="582"/>
      <c r="GTX19" s="582"/>
      <c r="GTY19" s="582"/>
      <c r="GTZ19" s="582"/>
      <c r="GUA19" s="582"/>
      <c r="GUB19" s="582"/>
      <c r="GUC19" s="582"/>
    </row>
    <row r="20" spans="1:5281" ht="19.5" customHeight="1" thickBot="1">
      <c r="A20" s="608">
        <v>1</v>
      </c>
      <c r="B20" s="609" t="s">
        <v>798</v>
      </c>
      <c r="C20" s="610">
        <v>6678434.3449999997</v>
      </c>
      <c r="D20" s="611">
        <v>415372.92099999997</v>
      </c>
      <c r="E20" s="611">
        <v>0</v>
      </c>
      <c r="F20" s="612">
        <f t="shared" ref="F20:F29" si="1">SUM(C20:E20)</f>
        <v>7093807.2659999998</v>
      </c>
      <c r="G20" s="613"/>
      <c r="H20" s="614"/>
      <c r="I20" s="614"/>
      <c r="J20" s="614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582"/>
      <c r="AB20" s="582"/>
      <c r="AC20" s="582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582"/>
      <c r="AO20" s="582"/>
      <c r="AP20" s="582"/>
      <c r="AQ20" s="582"/>
      <c r="AR20" s="582"/>
      <c r="AS20" s="582"/>
      <c r="AT20" s="582"/>
      <c r="AU20" s="582"/>
      <c r="AV20" s="582"/>
      <c r="AW20" s="582"/>
      <c r="AX20" s="582"/>
      <c r="AY20" s="582"/>
      <c r="AZ20" s="582"/>
      <c r="BA20" s="582"/>
      <c r="BB20" s="582"/>
      <c r="BC20" s="582"/>
      <c r="BD20" s="582"/>
      <c r="BE20" s="582"/>
      <c r="BF20" s="582"/>
      <c r="BG20" s="582"/>
      <c r="BH20" s="582"/>
      <c r="BI20" s="582"/>
      <c r="BJ20" s="582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582"/>
      <c r="BV20" s="582"/>
      <c r="BW20" s="582"/>
      <c r="BX20" s="582"/>
      <c r="BY20" s="582"/>
      <c r="BZ20" s="582"/>
      <c r="CA20" s="582"/>
      <c r="CB20" s="582"/>
      <c r="CC20" s="582"/>
      <c r="CD20" s="582"/>
      <c r="CE20" s="582"/>
      <c r="CF20" s="582"/>
      <c r="CG20" s="582"/>
      <c r="CH20" s="582"/>
      <c r="CI20" s="582"/>
      <c r="CJ20" s="582"/>
      <c r="CK20" s="582"/>
      <c r="CL20" s="582"/>
      <c r="CM20" s="582"/>
      <c r="CN20" s="582"/>
      <c r="CO20" s="582"/>
      <c r="CP20" s="582"/>
      <c r="CQ20" s="582"/>
      <c r="CR20" s="582"/>
      <c r="CS20" s="582"/>
      <c r="CT20" s="582"/>
      <c r="CU20" s="582"/>
      <c r="CV20" s="582"/>
      <c r="CW20" s="582"/>
      <c r="CX20" s="582"/>
      <c r="CY20" s="582"/>
      <c r="CZ20" s="582"/>
      <c r="DA20" s="582"/>
      <c r="DB20" s="582"/>
      <c r="DC20" s="582"/>
      <c r="DD20" s="582"/>
      <c r="DE20" s="582"/>
      <c r="DF20" s="582"/>
      <c r="DG20" s="582"/>
      <c r="DH20" s="582"/>
      <c r="DI20" s="582"/>
      <c r="DJ20" s="582"/>
      <c r="DK20" s="582"/>
      <c r="DL20" s="582"/>
      <c r="DM20" s="582"/>
      <c r="DN20" s="582"/>
      <c r="DO20" s="582"/>
      <c r="DP20" s="582"/>
      <c r="DQ20" s="582"/>
      <c r="DR20" s="582"/>
      <c r="DS20" s="582"/>
      <c r="DT20" s="582"/>
      <c r="DU20" s="582"/>
      <c r="DV20" s="582"/>
      <c r="DW20" s="582"/>
      <c r="DX20" s="582"/>
      <c r="DY20" s="582"/>
      <c r="DZ20" s="582"/>
      <c r="EA20" s="582"/>
      <c r="EB20" s="582"/>
      <c r="EC20" s="582"/>
      <c r="ED20" s="582"/>
      <c r="EE20" s="582"/>
      <c r="EF20" s="582"/>
      <c r="EG20" s="582"/>
      <c r="EH20" s="582"/>
      <c r="EI20" s="582"/>
      <c r="EJ20" s="582"/>
      <c r="EK20" s="582"/>
      <c r="EL20" s="582"/>
      <c r="EM20" s="582"/>
      <c r="EN20" s="582"/>
      <c r="EO20" s="582"/>
      <c r="EP20" s="582"/>
      <c r="EQ20" s="582"/>
      <c r="ER20" s="582"/>
      <c r="ES20" s="582"/>
      <c r="ET20" s="582"/>
      <c r="EU20" s="582"/>
      <c r="EV20" s="582"/>
      <c r="EW20" s="582"/>
      <c r="EX20" s="582"/>
      <c r="EY20" s="582"/>
      <c r="EZ20" s="582"/>
      <c r="FA20" s="582"/>
      <c r="FB20" s="582"/>
      <c r="FC20" s="582"/>
      <c r="FD20" s="582"/>
      <c r="FE20" s="582"/>
      <c r="FF20" s="582"/>
      <c r="FG20" s="582"/>
      <c r="FH20" s="582"/>
      <c r="FI20" s="582"/>
      <c r="FJ20" s="582"/>
      <c r="FK20" s="582"/>
      <c r="FL20" s="582"/>
      <c r="FM20" s="582"/>
      <c r="FN20" s="582"/>
      <c r="FO20" s="582"/>
      <c r="FP20" s="582"/>
      <c r="FQ20" s="582"/>
      <c r="FR20" s="582"/>
      <c r="FS20" s="582"/>
      <c r="FT20" s="582"/>
      <c r="FU20" s="582"/>
      <c r="FV20" s="582"/>
      <c r="FW20" s="582"/>
      <c r="FX20" s="582"/>
      <c r="FY20" s="582"/>
      <c r="FZ20" s="582"/>
      <c r="GA20" s="582"/>
      <c r="GB20" s="582"/>
      <c r="GC20" s="582"/>
      <c r="GD20" s="582"/>
      <c r="GE20" s="582"/>
      <c r="GF20" s="582"/>
      <c r="GG20" s="582"/>
      <c r="GH20" s="582"/>
      <c r="GI20" s="582"/>
      <c r="GJ20" s="582"/>
      <c r="GK20" s="582"/>
      <c r="GL20" s="582"/>
      <c r="GM20" s="582"/>
      <c r="GN20" s="582"/>
      <c r="GO20" s="582"/>
      <c r="GP20" s="582"/>
      <c r="GQ20" s="582"/>
      <c r="GR20" s="582"/>
      <c r="GS20" s="582"/>
      <c r="GT20" s="582"/>
      <c r="GU20" s="582"/>
      <c r="GV20" s="582"/>
      <c r="GW20" s="582"/>
      <c r="GX20" s="582"/>
      <c r="GY20" s="582"/>
      <c r="GZ20" s="582"/>
      <c r="HA20" s="582"/>
      <c r="HB20" s="582"/>
      <c r="HC20" s="582"/>
      <c r="HD20" s="582"/>
      <c r="HE20" s="582"/>
      <c r="HF20" s="582"/>
      <c r="HG20" s="582"/>
      <c r="HH20" s="582"/>
      <c r="HI20" s="582"/>
      <c r="HJ20" s="582"/>
      <c r="HK20" s="582"/>
      <c r="HL20" s="582"/>
      <c r="HM20" s="582"/>
      <c r="HN20" s="582"/>
      <c r="HO20" s="582"/>
      <c r="HP20" s="582"/>
      <c r="HQ20" s="582"/>
      <c r="HR20" s="582"/>
      <c r="HS20" s="582"/>
      <c r="HT20" s="582"/>
      <c r="HU20" s="582"/>
      <c r="HV20" s="582"/>
      <c r="HW20" s="582"/>
      <c r="HX20" s="582"/>
      <c r="HY20" s="582"/>
      <c r="HZ20" s="582"/>
      <c r="IA20" s="582"/>
      <c r="IB20" s="582"/>
      <c r="IC20" s="582"/>
      <c r="ID20" s="582"/>
      <c r="IE20" s="582"/>
      <c r="IF20" s="582"/>
      <c r="IG20" s="582"/>
      <c r="IH20" s="582"/>
      <c r="II20" s="582"/>
      <c r="IJ20" s="582"/>
      <c r="IK20" s="582"/>
      <c r="IL20" s="582"/>
      <c r="IM20" s="582"/>
      <c r="IN20" s="582"/>
      <c r="IO20" s="582"/>
      <c r="IP20" s="582"/>
      <c r="IQ20" s="582"/>
      <c r="IR20" s="582"/>
      <c r="IS20" s="582"/>
      <c r="IT20" s="582"/>
      <c r="IU20" s="582"/>
      <c r="IV20" s="582"/>
      <c r="IW20" s="582"/>
      <c r="IX20" s="582"/>
      <c r="IY20" s="582"/>
      <c r="IZ20" s="582"/>
      <c r="JA20" s="582"/>
      <c r="JB20" s="582"/>
      <c r="JC20" s="582"/>
      <c r="JD20" s="582"/>
      <c r="JE20" s="582"/>
      <c r="JF20" s="582"/>
      <c r="JG20" s="582"/>
      <c r="JH20" s="582"/>
      <c r="JI20" s="582"/>
      <c r="JJ20" s="582"/>
      <c r="JK20" s="582"/>
      <c r="JL20" s="582"/>
      <c r="JM20" s="582"/>
      <c r="JN20" s="582"/>
      <c r="JO20" s="582"/>
      <c r="JP20" s="582"/>
      <c r="JQ20" s="582"/>
      <c r="JR20" s="582"/>
      <c r="JS20" s="582"/>
      <c r="JT20" s="582"/>
      <c r="JU20" s="582"/>
      <c r="JV20" s="582"/>
      <c r="JW20" s="582"/>
      <c r="JX20" s="582"/>
      <c r="JY20" s="582"/>
      <c r="JZ20" s="582"/>
      <c r="KA20" s="582"/>
      <c r="KB20" s="582"/>
      <c r="KC20" s="582"/>
      <c r="KD20" s="582"/>
      <c r="KE20" s="582"/>
      <c r="KF20" s="582"/>
      <c r="KG20" s="582"/>
      <c r="KH20" s="582"/>
      <c r="KI20" s="582"/>
      <c r="KJ20" s="582"/>
      <c r="KK20" s="582"/>
      <c r="KL20" s="582"/>
      <c r="KM20" s="582"/>
      <c r="KN20" s="582"/>
      <c r="KO20" s="582"/>
      <c r="KP20" s="582"/>
      <c r="KQ20" s="582"/>
      <c r="KR20" s="582"/>
      <c r="KS20" s="582"/>
      <c r="KT20" s="582"/>
      <c r="KU20" s="582"/>
      <c r="KV20" s="582"/>
      <c r="KW20" s="582"/>
      <c r="KX20" s="582"/>
      <c r="KY20" s="582"/>
      <c r="KZ20" s="582"/>
      <c r="LA20" s="582"/>
      <c r="LB20" s="582"/>
      <c r="LC20" s="582"/>
      <c r="LD20" s="582"/>
      <c r="LE20" s="582"/>
      <c r="LF20" s="582"/>
      <c r="LG20" s="582"/>
      <c r="LH20" s="582"/>
      <c r="LI20" s="582"/>
      <c r="LJ20" s="582"/>
      <c r="LK20" s="582"/>
      <c r="LL20" s="582"/>
      <c r="LM20" s="582"/>
      <c r="LN20" s="582"/>
      <c r="LO20" s="582"/>
      <c r="LP20" s="582"/>
      <c r="LQ20" s="582"/>
      <c r="LR20" s="582"/>
      <c r="LS20" s="582"/>
      <c r="LT20" s="582"/>
      <c r="LU20" s="582"/>
      <c r="LV20" s="582"/>
      <c r="LW20" s="582"/>
      <c r="LX20" s="582"/>
      <c r="LY20" s="582"/>
      <c r="LZ20" s="582"/>
      <c r="MA20" s="582"/>
      <c r="MB20" s="582"/>
      <c r="MC20" s="582"/>
      <c r="MD20" s="582"/>
      <c r="ME20" s="582"/>
      <c r="MF20" s="582"/>
      <c r="MG20" s="582"/>
      <c r="MH20" s="582"/>
      <c r="MI20" s="582"/>
      <c r="MJ20" s="582"/>
      <c r="MK20" s="582"/>
      <c r="ML20" s="582"/>
      <c r="MM20" s="582"/>
      <c r="MN20" s="582"/>
      <c r="MO20" s="582"/>
      <c r="MP20" s="582"/>
      <c r="MQ20" s="582"/>
      <c r="MR20" s="582"/>
      <c r="MS20" s="582"/>
      <c r="MT20" s="582"/>
      <c r="MU20" s="582"/>
      <c r="MV20" s="582"/>
      <c r="MW20" s="582"/>
      <c r="MX20" s="582"/>
      <c r="MY20" s="582"/>
      <c r="MZ20" s="582"/>
      <c r="NA20" s="582"/>
      <c r="NB20" s="582"/>
      <c r="NC20" s="582"/>
      <c r="ND20" s="582"/>
      <c r="NE20" s="582"/>
      <c r="NF20" s="582"/>
      <c r="NG20" s="582"/>
      <c r="NH20" s="582"/>
      <c r="NI20" s="582"/>
      <c r="NJ20" s="582"/>
      <c r="NK20" s="582"/>
      <c r="NL20" s="582"/>
      <c r="NM20" s="582"/>
      <c r="NN20" s="582"/>
      <c r="NO20" s="582"/>
      <c r="NP20" s="582"/>
      <c r="NQ20" s="582"/>
      <c r="NR20" s="582"/>
      <c r="NS20" s="582"/>
      <c r="NT20" s="582"/>
      <c r="NU20" s="582"/>
      <c r="NV20" s="582"/>
      <c r="NW20" s="582"/>
      <c r="NX20" s="582"/>
      <c r="NY20" s="582"/>
      <c r="NZ20" s="582"/>
      <c r="OA20" s="582"/>
      <c r="OB20" s="582"/>
      <c r="OC20" s="582"/>
      <c r="OD20" s="582"/>
      <c r="OE20" s="582"/>
      <c r="OF20" s="582"/>
      <c r="OG20" s="582"/>
      <c r="OH20" s="582"/>
      <c r="OI20" s="582"/>
      <c r="OJ20" s="582"/>
      <c r="OK20" s="582"/>
      <c r="OL20" s="582"/>
      <c r="OM20" s="582"/>
      <c r="ON20" s="582"/>
      <c r="OO20" s="582"/>
      <c r="OP20" s="582"/>
      <c r="OQ20" s="582"/>
      <c r="OR20" s="582"/>
      <c r="OS20" s="582"/>
      <c r="OT20" s="582"/>
      <c r="OU20" s="582"/>
      <c r="OV20" s="582"/>
      <c r="OW20" s="582"/>
      <c r="OX20" s="582"/>
      <c r="OY20" s="582"/>
      <c r="OZ20" s="582"/>
      <c r="PA20" s="582"/>
      <c r="PB20" s="582"/>
      <c r="PC20" s="582"/>
      <c r="PD20" s="582"/>
      <c r="PE20" s="582"/>
      <c r="PF20" s="582"/>
      <c r="PG20" s="582"/>
      <c r="PH20" s="582"/>
      <c r="PI20" s="582"/>
      <c r="PJ20" s="582"/>
      <c r="PK20" s="582"/>
      <c r="PL20" s="582"/>
      <c r="PM20" s="582"/>
      <c r="PN20" s="582"/>
      <c r="PO20" s="582"/>
      <c r="PP20" s="582"/>
      <c r="PQ20" s="582"/>
      <c r="PR20" s="582"/>
      <c r="PS20" s="582"/>
      <c r="PT20" s="582"/>
      <c r="PU20" s="582"/>
      <c r="PV20" s="582"/>
      <c r="PW20" s="582"/>
      <c r="PX20" s="582"/>
      <c r="PY20" s="582"/>
      <c r="PZ20" s="582"/>
      <c r="QA20" s="582"/>
      <c r="QB20" s="582"/>
      <c r="QC20" s="582"/>
      <c r="QD20" s="582"/>
      <c r="QE20" s="582"/>
      <c r="QF20" s="582"/>
      <c r="QG20" s="582"/>
      <c r="QH20" s="582"/>
      <c r="QI20" s="582"/>
      <c r="QJ20" s="582"/>
      <c r="QK20" s="582"/>
      <c r="QL20" s="582"/>
      <c r="QM20" s="582"/>
      <c r="QN20" s="582"/>
      <c r="QO20" s="582"/>
      <c r="QP20" s="582"/>
      <c r="QQ20" s="582"/>
      <c r="QR20" s="582"/>
      <c r="QS20" s="582"/>
      <c r="QT20" s="582"/>
      <c r="QU20" s="582"/>
      <c r="QV20" s="582"/>
      <c r="QW20" s="582"/>
      <c r="QX20" s="582"/>
      <c r="QY20" s="582"/>
      <c r="QZ20" s="582"/>
      <c r="RA20" s="582"/>
      <c r="RB20" s="582"/>
      <c r="RC20" s="582"/>
      <c r="RD20" s="582"/>
      <c r="RE20" s="582"/>
      <c r="RF20" s="582"/>
      <c r="RG20" s="582"/>
      <c r="RH20" s="582"/>
      <c r="RI20" s="582"/>
      <c r="RJ20" s="582"/>
      <c r="RK20" s="582"/>
      <c r="RL20" s="582"/>
      <c r="RM20" s="582"/>
      <c r="RN20" s="582"/>
      <c r="RO20" s="582"/>
      <c r="RP20" s="582"/>
      <c r="RQ20" s="582"/>
      <c r="RR20" s="582"/>
      <c r="RS20" s="582"/>
      <c r="RT20" s="582"/>
      <c r="RU20" s="582"/>
      <c r="RV20" s="582"/>
      <c r="RW20" s="582"/>
      <c r="RX20" s="582"/>
      <c r="RY20" s="582"/>
      <c r="RZ20" s="582"/>
      <c r="SA20" s="582"/>
      <c r="SB20" s="582"/>
      <c r="SC20" s="582"/>
      <c r="SD20" s="582"/>
      <c r="SE20" s="582"/>
      <c r="SF20" s="582"/>
      <c r="SG20" s="582"/>
      <c r="SH20" s="582"/>
      <c r="SI20" s="582"/>
      <c r="SJ20" s="582"/>
      <c r="SK20" s="582"/>
      <c r="SL20" s="582"/>
      <c r="SM20" s="582"/>
      <c r="SN20" s="582"/>
      <c r="SO20" s="582"/>
      <c r="SP20" s="582"/>
      <c r="SQ20" s="582"/>
      <c r="SR20" s="582"/>
      <c r="SS20" s="582"/>
      <c r="ST20" s="582"/>
      <c r="SU20" s="582"/>
      <c r="SV20" s="582"/>
      <c r="SW20" s="582"/>
      <c r="SX20" s="582"/>
      <c r="SY20" s="582"/>
      <c r="SZ20" s="582"/>
      <c r="TA20" s="582"/>
      <c r="TB20" s="582"/>
      <c r="TC20" s="582"/>
      <c r="TD20" s="582"/>
      <c r="TE20" s="582"/>
      <c r="TF20" s="582"/>
      <c r="TG20" s="582"/>
      <c r="TH20" s="582"/>
      <c r="TI20" s="582"/>
      <c r="TJ20" s="582"/>
      <c r="TK20" s="582"/>
      <c r="TL20" s="582"/>
      <c r="TM20" s="582"/>
      <c r="TN20" s="582"/>
      <c r="TO20" s="582"/>
      <c r="TP20" s="582"/>
      <c r="TQ20" s="582"/>
      <c r="TR20" s="582"/>
      <c r="TS20" s="582"/>
      <c r="TT20" s="582"/>
      <c r="TU20" s="582"/>
      <c r="TV20" s="582"/>
      <c r="TW20" s="582"/>
      <c r="TX20" s="582"/>
      <c r="TY20" s="582"/>
      <c r="TZ20" s="582"/>
      <c r="UA20" s="582"/>
      <c r="UB20" s="582"/>
      <c r="UC20" s="582"/>
      <c r="UD20" s="582"/>
      <c r="UE20" s="582"/>
      <c r="UF20" s="582"/>
      <c r="UG20" s="582"/>
      <c r="UH20" s="582"/>
      <c r="UI20" s="582"/>
      <c r="UJ20" s="582"/>
      <c r="UK20" s="582"/>
      <c r="UL20" s="582"/>
      <c r="UM20" s="582"/>
      <c r="UN20" s="582"/>
      <c r="UO20" s="582"/>
      <c r="UP20" s="582"/>
      <c r="UQ20" s="582"/>
      <c r="UR20" s="582"/>
      <c r="US20" s="582"/>
      <c r="UT20" s="582"/>
      <c r="UU20" s="582"/>
      <c r="UV20" s="582"/>
      <c r="UW20" s="582"/>
      <c r="UX20" s="582"/>
      <c r="UY20" s="582"/>
      <c r="UZ20" s="582"/>
      <c r="VA20" s="582"/>
      <c r="VB20" s="582"/>
      <c r="VC20" s="582"/>
      <c r="VD20" s="582"/>
      <c r="VE20" s="582"/>
      <c r="VF20" s="582"/>
      <c r="VG20" s="582"/>
      <c r="VH20" s="582"/>
      <c r="VI20" s="582"/>
      <c r="VJ20" s="582"/>
      <c r="VK20" s="582"/>
      <c r="VL20" s="582"/>
      <c r="VM20" s="582"/>
      <c r="VN20" s="582"/>
      <c r="VO20" s="582"/>
      <c r="VP20" s="582"/>
      <c r="VQ20" s="582"/>
      <c r="VR20" s="582"/>
      <c r="VS20" s="582"/>
      <c r="VT20" s="582"/>
      <c r="VU20" s="582"/>
      <c r="VV20" s="582"/>
      <c r="VW20" s="582"/>
      <c r="VX20" s="582"/>
      <c r="VY20" s="582"/>
      <c r="VZ20" s="582"/>
      <c r="WA20" s="582"/>
      <c r="WB20" s="582"/>
      <c r="WC20" s="582"/>
      <c r="WD20" s="582"/>
      <c r="WE20" s="582"/>
      <c r="WF20" s="582"/>
      <c r="WG20" s="582"/>
      <c r="WH20" s="582"/>
      <c r="WI20" s="582"/>
      <c r="WJ20" s="582"/>
      <c r="WK20" s="582"/>
      <c r="WL20" s="582"/>
      <c r="WM20" s="582"/>
      <c r="WN20" s="582"/>
      <c r="WO20" s="582"/>
      <c r="WP20" s="582"/>
      <c r="WQ20" s="582"/>
      <c r="WR20" s="582"/>
      <c r="WS20" s="582"/>
      <c r="WT20" s="582"/>
      <c r="WU20" s="582"/>
      <c r="WV20" s="582"/>
      <c r="WW20" s="582"/>
      <c r="WX20" s="582"/>
      <c r="WY20" s="582"/>
      <c r="WZ20" s="582"/>
      <c r="XA20" s="582"/>
      <c r="XB20" s="582"/>
      <c r="XC20" s="582"/>
      <c r="XD20" s="582"/>
      <c r="XE20" s="582"/>
      <c r="XF20" s="582"/>
      <c r="XG20" s="582"/>
      <c r="XH20" s="582"/>
      <c r="XI20" s="582"/>
      <c r="XJ20" s="582"/>
      <c r="XK20" s="582"/>
      <c r="XL20" s="582"/>
      <c r="XM20" s="582"/>
      <c r="XN20" s="582"/>
      <c r="XO20" s="582"/>
      <c r="XP20" s="582"/>
      <c r="XQ20" s="582"/>
      <c r="XR20" s="582"/>
      <c r="XS20" s="582"/>
      <c r="XT20" s="582"/>
      <c r="XU20" s="582"/>
      <c r="XV20" s="582"/>
      <c r="XW20" s="582"/>
      <c r="XX20" s="582"/>
      <c r="XY20" s="582"/>
      <c r="XZ20" s="582"/>
      <c r="YA20" s="582"/>
      <c r="YB20" s="582"/>
      <c r="YC20" s="582"/>
      <c r="YD20" s="582"/>
      <c r="YE20" s="582"/>
      <c r="YF20" s="582"/>
      <c r="YG20" s="582"/>
      <c r="YH20" s="582"/>
      <c r="YI20" s="582"/>
      <c r="YJ20" s="582"/>
      <c r="YK20" s="582"/>
      <c r="YL20" s="582"/>
      <c r="YM20" s="582"/>
      <c r="YN20" s="582"/>
      <c r="YO20" s="582"/>
      <c r="YP20" s="582"/>
      <c r="YQ20" s="582"/>
      <c r="YR20" s="582"/>
      <c r="YS20" s="582"/>
      <c r="YT20" s="582"/>
      <c r="YU20" s="582"/>
      <c r="YV20" s="582"/>
      <c r="YW20" s="582"/>
      <c r="YX20" s="582"/>
      <c r="YY20" s="582"/>
      <c r="YZ20" s="582"/>
      <c r="ZA20" s="582"/>
      <c r="ZB20" s="582"/>
      <c r="ZC20" s="582"/>
      <c r="ZD20" s="582"/>
      <c r="ZE20" s="582"/>
      <c r="ZF20" s="582"/>
      <c r="ZG20" s="582"/>
      <c r="ZH20" s="582"/>
      <c r="ZI20" s="582"/>
      <c r="ZJ20" s="582"/>
      <c r="ZK20" s="582"/>
      <c r="ZL20" s="582"/>
      <c r="ZM20" s="582"/>
      <c r="ZN20" s="582"/>
      <c r="ZO20" s="582"/>
      <c r="ZP20" s="582"/>
      <c r="ZQ20" s="582"/>
      <c r="ZR20" s="582"/>
      <c r="ZS20" s="582"/>
      <c r="ZT20" s="582"/>
      <c r="ZU20" s="582"/>
      <c r="ZV20" s="582"/>
      <c r="ZW20" s="582"/>
      <c r="ZX20" s="582"/>
      <c r="ZY20" s="582"/>
      <c r="ZZ20" s="582"/>
      <c r="AAA20" s="582"/>
      <c r="AAB20" s="582"/>
      <c r="AAC20" s="582"/>
      <c r="AAD20" s="582"/>
      <c r="AAE20" s="582"/>
      <c r="AAF20" s="582"/>
      <c r="AAG20" s="582"/>
      <c r="AAH20" s="582"/>
      <c r="AAI20" s="582"/>
      <c r="AAJ20" s="582"/>
      <c r="AAK20" s="582"/>
      <c r="AAL20" s="582"/>
      <c r="AAM20" s="582"/>
      <c r="AAN20" s="582"/>
      <c r="AAO20" s="582"/>
      <c r="AAP20" s="582"/>
      <c r="AAQ20" s="582"/>
      <c r="AAR20" s="582"/>
      <c r="AAS20" s="582"/>
      <c r="AAT20" s="582"/>
      <c r="AAU20" s="582"/>
      <c r="AAV20" s="582"/>
      <c r="AAW20" s="582"/>
      <c r="AAX20" s="582"/>
      <c r="AAY20" s="582"/>
      <c r="AAZ20" s="582"/>
      <c r="ABA20" s="582"/>
      <c r="ABB20" s="582"/>
      <c r="ABC20" s="582"/>
      <c r="ABD20" s="582"/>
      <c r="ABE20" s="582"/>
      <c r="ABF20" s="582"/>
      <c r="ABG20" s="582"/>
      <c r="ABH20" s="582"/>
      <c r="ABI20" s="582"/>
      <c r="ABJ20" s="582"/>
      <c r="ABK20" s="582"/>
      <c r="ABL20" s="582"/>
      <c r="ABM20" s="582"/>
      <c r="ABN20" s="582"/>
      <c r="ABO20" s="582"/>
      <c r="ABP20" s="582"/>
      <c r="ABQ20" s="582"/>
      <c r="ABR20" s="582"/>
      <c r="ABS20" s="582"/>
      <c r="ABT20" s="582"/>
      <c r="ABU20" s="582"/>
      <c r="ABV20" s="582"/>
      <c r="ABW20" s="582"/>
      <c r="ABX20" s="582"/>
      <c r="ABY20" s="582"/>
      <c r="ABZ20" s="582"/>
      <c r="ACA20" s="582"/>
      <c r="ACB20" s="582"/>
      <c r="ACC20" s="582"/>
      <c r="ACD20" s="582"/>
      <c r="ACE20" s="582"/>
      <c r="ACF20" s="582"/>
      <c r="ACG20" s="582"/>
      <c r="ACH20" s="582"/>
      <c r="ACI20" s="582"/>
      <c r="ACJ20" s="582"/>
      <c r="ACK20" s="582"/>
      <c r="ACL20" s="582"/>
      <c r="ACM20" s="582"/>
      <c r="ACN20" s="582"/>
      <c r="ACO20" s="582"/>
      <c r="ACP20" s="582"/>
      <c r="ACQ20" s="582"/>
      <c r="ACR20" s="582"/>
      <c r="ACS20" s="582"/>
      <c r="ACT20" s="582"/>
      <c r="ACU20" s="582"/>
      <c r="ACV20" s="582"/>
      <c r="ACW20" s="582"/>
      <c r="ACX20" s="582"/>
      <c r="ACY20" s="582"/>
      <c r="ACZ20" s="582"/>
      <c r="ADA20" s="582"/>
      <c r="ADB20" s="582"/>
      <c r="ADC20" s="582"/>
      <c r="ADD20" s="582"/>
      <c r="ADE20" s="582"/>
      <c r="ADF20" s="582"/>
      <c r="ADG20" s="582"/>
      <c r="ADH20" s="582"/>
      <c r="ADI20" s="582"/>
      <c r="ADJ20" s="582"/>
      <c r="ADK20" s="582"/>
      <c r="ADL20" s="582"/>
      <c r="ADM20" s="582"/>
      <c r="ADN20" s="582"/>
      <c r="ADO20" s="582"/>
      <c r="ADP20" s="582"/>
      <c r="ADQ20" s="582"/>
      <c r="ADR20" s="582"/>
      <c r="ADS20" s="582"/>
      <c r="ADT20" s="582"/>
      <c r="ADU20" s="582"/>
      <c r="ADV20" s="582"/>
      <c r="ADW20" s="582"/>
      <c r="ADX20" s="582"/>
      <c r="ADY20" s="582"/>
      <c r="ADZ20" s="582"/>
      <c r="AEA20" s="582"/>
      <c r="AEB20" s="582"/>
      <c r="AEC20" s="582"/>
      <c r="AED20" s="582"/>
      <c r="AEE20" s="582"/>
      <c r="AEF20" s="582"/>
      <c r="AEG20" s="582"/>
      <c r="AEH20" s="582"/>
      <c r="AEI20" s="582"/>
      <c r="AEJ20" s="582"/>
      <c r="AEK20" s="582"/>
      <c r="AEL20" s="582"/>
      <c r="AEM20" s="582"/>
      <c r="AEN20" s="582"/>
      <c r="AEO20" s="582"/>
      <c r="AEP20" s="582"/>
      <c r="AEQ20" s="582"/>
      <c r="AER20" s="582"/>
      <c r="AES20" s="582"/>
      <c r="AET20" s="582"/>
      <c r="AEU20" s="582"/>
      <c r="AEV20" s="582"/>
      <c r="AEW20" s="582"/>
      <c r="AEX20" s="582"/>
      <c r="AEY20" s="582"/>
      <c r="AEZ20" s="582"/>
      <c r="AFA20" s="582"/>
      <c r="AFB20" s="582"/>
      <c r="AFC20" s="582"/>
      <c r="AFD20" s="582"/>
      <c r="AFE20" s="582"/>
      <c r="AFF20" s="582"/>
      <c r="AFG20" s="582"/>
      <c r="AFH20" s="582"/>
      <c r="AFI20" s="582"/>
      <c r="AFJ20" s="582"/>
      <c r="AFK20" s="582"/>
      <c r="AFL20" s="582"/>
      <c r="AFM20" s="582"/>
      <c r="AFN20" s="582"/>
      <c r="AFO20" s="582"/>
      <c r="AFP20" s="582"/>
      <c r="AFQ20" s="582"/>
      <c r="AFR20" s="582"/>
      <c r="AFS20" s="582"/>
      <c r="AFT20" s="582"/>
      <c r="AFU20" s="582"/>
      <c r="AFV20" s="582"/>
      <c r="AFW20" s="582"/>
      <c r="AFX20" s="582"/>
      <c r="AFY20" s="582"/>
      <c r="AFZ20" s="582"/>
      <c r="AGA20" s="582"/>
      <c r="AGB20" s="582"/>
      <c r="AGC20" s="582"/>
      <c r="AGD20" s="582"/>
      <c r="AGE20" s="582"/>
      <c r="AGF20" s="582"/>
      <c r="AGG20" s="582"/>
      <c r="AGH20" s="582"/>
      <c r="AGI20" s="582"/>
      <c r="AGJ20" s="582"/>
      <c r="AGK20" s="582"/>
      <c r="AGL20" s="582"/>
      <c r="AGM20" s="582"/>
      <c r="AGN20" s="582"/>
      <c r="AGO20" s="582"/>
      <c r="AGP20" s="582"/>
      <c r="AGQ20" s="582"/>
      <c r="AGR20" s="582"/>
      <c r="AGS20" s="582"/>
      <c r="AGT20" s="582"/>
      <c r="AGU20" s="582"/>
      <c r="AGV20" s="582"/>
      <c r="AGW20" s="582"/>
      <c r="AGX20" s="582"/>
      <c r="AGY20" s="582"/>
      <c r="AGZ20" s="582"/>
      <c r="AHA20" s="582"/>
      <c r="AHB20" s="582"/>
      <c r="AHC20" s="582"/>
      <c r="AHD20" s="582"/>
      <c r="AHE20" s="582"/>
      <c r="AHF20" s="582"/>
      <c r="AHG20" s="582"/>
      <c r="AHH20" s="582"/>
      <c r="AHI20" s="582"/>
      <c r="AHJ20" s="582"/>
      <c r="AHK20" s="582"/>
      <c r="AHL20" s="582"/>
      <c r="AHM20" s="582"/>
      <c r="AHN20" s="582"/>
      <c r="AHO20" s="582"/>
      <c r="AHP20" s="582"/>
      <c r="AHQ20" s="582"/>
      <c r="AHR20" s="582"/>
      <c r="AHS20" s="582"/>
      <c r="AHT20" s="582"/>
      <c r="AHU20" s="582"/>
      <c r="AHV20" s="582"/>
      <c r="AHW20" s="582"/>
      <c r="AHX20" s="582"/>
      <c r="AHY20" s="582"/>
      <c r="AHZ20" s="582"/>
      <c r="AIA20" s="582"/>
      <c r="AIB20" s="582"/>
      <c r="AIC20" s="582"/>
      <c r="AID20" s="582"/>
      <c r="AIE20" s="582"/>
      <c r="AIF20" s="582"/>
      <c r="AIG20" s="582"/>
      <c r="AIH20" s="582"/>
      <c r="AII20" s="582"/>
      <c r="AIJ20" s="582"/>
      <c r="AIK20" s="582"/>
      <c r="AIL20" s="582"/>
      <c r="AIM20" s="582"/>
      <c r="AIN20" s="582"/>
      <c r="AIO20" s="582"/>
      <c r="AIP20" s="582"/>
      <c r="AIQ20" s="582"/>
      <c r="AIR20" s="582"/>
      <c r="AIS20" s="582"/>
      <c r="AIT20" s="582"/>
      <c r="AIU20" s="582"/>
      <c r="AIV20" s="582"/>
      <c r="AIW20" s="582"/>
      <c r="AIX20" s="582"/>
      <c r="AIY20" s="582"/>
      <c r="AIZ20" s="582"/>
      <c r="AJA20" s="582"/>
      <c r="AJB20" s="582"/>
      <c r="AJC20" s="582"/>
      <c r="AJD20" s="582"/>
      <c r="AJE20" s="582"/>
      <c r="AJF20" s="582"/>
      <c r="AJG20" s="582"/>
      <c r="AJH20" s="582"/>
      <c r="AJI20" s="582"/>
      <c r="AJJ20" s="582"/>
      <c r="AJK20" s="582"/>
      <c r="AJL20" s="582"/>
      <c r="AJM20" s="582"/>
      <c r="AJN20" s="582"/>
      <c r="AJO20" s="582"/>
      <c r="AJP20" s="582"/>
      <c r="AJQ20" s="582"/>
      <c r="AJR20" s="582"/>
      <c r="AJS20" s="582"/>
      <c r="AJT20" s="582"/>
      <c r="AJU20" s="582"/>
      <c r="AJV20" s="582"/>
      <c r="AJW20" s="582"/>
      <c r="AJX20" s="582"/>
      <c r="AJY20" s="582"/>
      <c r="AJZ20" s="582"/>
      <c r="AKA20" s="582"/>
      <c r="AKB20" s="582"/>
      <c r="AKC20" s="582"/>
      <c r="AKD20" s="582"/>
      <c r="AKE20" s="582"/>
      <c r="AKF20" s="582"/>
      <c r="AKG20" s="582"/>
      <c r="AKH20" s="582"/>
      <c r="AKI20" s="582"/>
      <c r="AKJ20" s="582"/>
      <c r="AKK20" s="582"/>
      <c r="AKL20" s="582"/>
      <c r="AKM20" s="582"/>
      <c r="AKN20" s="582"/>
      <c r="AKO20" s="582"/>
      <c r="AKP20" s="582"/>
      <c r="AKQ20" s="582"/>
      <c r="AKR20" s="582"/>
      <c r="AKS20" s="582"/>
      <c r="AKT20" s="582"/>
      <c r="AKU20" s="582"/>
      <c r="AKV20" s="582"/>
      <c r="AKW20" s="582"/>
      <c r="AKX20" s="582"/>
      <c r="AKY20" s="582"/>
      <c r="AKZ20" s="582"/>
      <c r="ALA20" s="582"/>
      <c r="ALB20" s="582"/>
      <c r="ALC20" s="582"/>
      <c r="ALD20" s="582"/>
      <c r="ALE20" s="582"/>
      <c r="ALF20" s="582"/>
      <c r="ALG20" s="582"/>
      <c r="ALH20" s="582"/>
      <c r="ALI20" s="582"/>
      <c r="ALJ20" s="582"/>
      <c r="ALK20" s="582"/>
      <c r="ALL20" s="582"/>
      <c r="ALM20" s="582"/>
      <c r="ALN20" s="582"/>
      <c r="ALO20" s="582"/>
      <c r="ALP20" s="582"/>
      <c r="ALQ20" s="582"/>
      <c r="ALR20" s="582"/>
      <c r="ALS20" s="582"/>
      <c r="ALT20" s="582"/>
      <c r="ALU20" s="582"/>
      <c r="ALV20" s="582"/>
      <c r="ALW20" s="582"/>
      <c r="ALX20" s="582"/>
      <c r="ALY20" s="582"/>
      <c r="ALZ20" s="582"/>
      <c r="AMA20" s="582"/>
      <c r="AMB20" s="582"/>
      <c r="AMC20" s="582"/>
      <c r="AMD20" s="582"/>
      <c r="AME20" s="582"/>
      <c r="AMF20" s="582"/>
      <c r="AMG20" s="582"/>
      <c r="AMH20" s="582"/>
      <c r="AMI20" s="582"/>
      <c r="AMJ20" s="582"/>
      <c r="AMK20" s="582"/>
      <c r="AML20" s="582"/>
      <c r="AMM20" s="582"/>
      <c r="AMN20" s="582"/>
      <c r="AMO20" s="582"/>
      <c r="AMP20" s="582"/>
      <c r="AMQ20" s="582"/>
      <c r="AMR20" s="582"/>
      <c r="AMS20" s="582"/>
      <c r="AMT20" s="582"/>
      <c r="AMU20" s="582"/>
      <c r="AMV20" s="582"/>
      <c r="AMW20" s="582"/>
      <c r="AMX20" s="582"/>
      <c r="AMY20" s="582"/>
      <c r="AMZ20" s="582"/>
      <c r="ANA20" s="582"/>
      <c r="ANB20" s="582"/>
      <c r="ANC20" s="582"/>
      <c r="AND20" s="582"/>
      <c r="ANE20" s="582"/>
      <c r="ANF20" s="582"/>
      <c r="ANG20" s="582"/>
      <c r="ANH20" s="582"/>
      <c r="ANI20" s="582"/>
      <c r="ANJ20" s="582"/>
      <c r="ANK20" s="582"/>
      <c r="ANL20" s="582"/>
      <c r="ANM20" s="582"/>
      <c r="ANN20" s="582"/>
      <c r="ANO20" s="582"/>
      <c r="ANP20" s="582"/>
      <c r="ANQ20" s="582"/>
      <c r="ANR20" s="582"/>
      <c r="ANS20" s="582"/>
      <c r="ANT20" s="582"/>
      <c r="ANU20" s="582"/>
      <c r="ANV20" s="582"/>
      <c r="ANW20" s="582"/>
      <c r="ANX20" s="582"/>
      <c r="ANY20" s="582"/>
      <c r="ANZ20" s="582"/>
      <c r="AOA20" s="582"/>
      <c r="AOB20" s="582"/>
      <c r="AOC20" s="582"/>
      <c r="AOD20" s="582"/>
      <c r="AOE20" s="582"/>
      <c r="AOF20" s="582"/>
      <c r="AOG20" s="582"/>
      <c r="AOH20" s="582"/>
      <c r="AOI20" s="582"/>
      <c r="AOJ20" s="582"/>
      <c r="AOK20" s="582"/>
      <c r="AOL20" s="582"/>
      <c r="AOM20" s="582"/>
      <c r="AON20" s="582"/>
      <c r="AOO20" s="582"/>
      <c r="AOP20" s="582"/>
      <c r="AOQ20" s="582"/>
      <c r="AOR20" s="582"/>
      <c r="AOS20" s="582"/>
      <c r="AOT20" s="582"/>
      <c r="AOU20" s="582"/>
      <c r="AOV20" s="582"/>
      <c r="AOW20" s="582"/>
      <c r="AOX20" s="582"/>
      <c r="AOY20" s="582"/>
      <c r="AOZ20" s="582"/>
      <c r="APA20" s="582"/>
      <c r="APB20" s="582"/>
      <c r="APC20" s="582"/>
      <c r="APD20" s="582"/>
      <c r="APE20" s="582"/>
      <c r="APF20" s="582"/>
      <c r="APG20" s="582"/>
      <c r="APH20" s="582"/>
      <c r="API20" s="582"/>
      <c r="APJ20" s="582"/>
      <c r="APK20" s="582"/>
      <c r="APL20" s="582"/>
      <c r="APM20" s="582"/>
      <c r="APN20" s="582"/>
      <c r="APO20" s="582"/>
      <c r="APP20" s="582"/>
      <c r="APQ20" s="582"/>
      <c r="APR20" s="582"/>
      <c r="APS20" s="582"/>
      <c r="APT20" s="582"/>
      <c r="APU20" s="582"/>
      <c r="APV20" s="582"/>
      <c r="APW20" s="582"/>
      <c r="APX20" s="582"/>
      <c r="APY20" s="582"/>
      <c r="APZ20" s="582"/>
      <c r="AQA20" s="582"/>
      <c r="AQB20" s="582"/>
      <c r="AQC20" s="582"/>
      <c r="AQD20" s="582"/>
      <c r="AQE20" s="582"/>
      <c r="AQF20" s="582"/>
      <c r="AQG20" s="582"/>
      <c r="AQH20" s="582"/>
      <c r="AQI20" s="582"/>
      <c r="AQJ20" s="582"/>
      <c r="AQK20" s="582"/>
      <c r="AQL20" s="582"/>
      <c r="AQM20" s="582"/>
      <c r="AQN20" s="582"/>
      <c r="AQO20" s="582"/>
      <c r="AQP20" s="582"/>
      <c r="AQQ20" s="582"/>
      <c r="AQR20" s="582"/>
      <c r="AQS20" s="582"/>
      <c r="AQT20" s="582"/>
      <c r="AQU20" s="582"/>
      <c r="AQV20" s="582"/>
      <c r="AQW20" s="582"/>
      <c r="AQX20" s="582"/>
      <c r="AQY20" s="582"/>
      <c r="AQZ20" s="582"/>
      <c r="ARA20" s="582"/>
      <c r="ARB20" s="582"/>
      <c r="ARC20" s="582"/>
      <c r="ARD20" s="582"/>
      <c r="ARE20" s="582"/>
      <c r="ARF20" s="582"/>
      <c r="ARG20" s="582"/>
      <c r="ARH20" s="582"/>
      <c r="ARI20" s="582"/>
      <c r="ARJ20" s="582"/>
      <c r="ARK20" s="582"/>
      <c r="ARL20" s="582"/>
      <c r="ARM20" s="582"/>
      <c r="ARN20" s="582"/>
      <c r="ARO20" s="582"/>
      <c r="ARP20" s="582"/>
      <c r="ARQ20" s="582"/>
      <c r="ARR20" s="582"/>
      <c r="ARS20" s="582"/>
      <c r="ART20" s="582"/>
      <c r="ARU20" s="582"/>
      <c r="ARV20" s="582"/>
      <c r="ARW20" s="582"/>
      <c r="ARX20" s="582"/>
      <c r="ARY20" s="582"/>
      <c r="ARZ20" s="582"/>
      <c r="ASA20" s="582"/>
      <c r="ASB20" s="582"/>
      <c r="ASC20" s="582"/>
      <c r="ASD20" s="582"/>
      <c r="ASE20" s="582"/>
      <c r="ASF20" s="582"/>
      <c r="ASG20" s="582"/>
      <c r="ASH20" s="582"/>
      <c r="ASI20" s="582"/>
      <c r="ASJ20" s="582"/>
      <c r="ASK20" s="582"/>
      <c r="ASL20" s="582"/>
      <c r="ASM20" s="582"/>
      <c r="ASN20" s="582"/>
      <c r="ASO20" s="582"/>
      <c r="ASP20" s="582"/>
      <c r="ASQ20" s="582"/>
      <c r="ASR20" s="582"/>
      <c r="ASS20" s="582"/>
      <c r="AST20" s="582"/>
      <c r="ASU20" s="582"/>
      <c r="ASV20" s="582"/>
      <c r="ASW20" s="582"/>
      <c r="ASX20" s="582"/>
      <c r="ASY20" s="582"/>
      <c r="ASZ20" s="582"/>
      <c r="ATA20" s="582"/>
      <c r="ATB20" s="582"/>
      <c r="ATC20" s="582"/>
      <c r="ATD20" s="582"/>
      <c r="ATE20" s="582"/>
      <c r="ATF20" s="582"/>
      <c r="ATG20" s="582"/>
      <c r="ATH20" s="582"/>
      <c r="ATI20" s="582"/>
      <c r="ATJ20" s="582"/>
      <c r="ATK20" s="582"/>
      <c r="ATL20" s="582"/>
      <c r="ATM20" s="582"/>
      <c r="ATN20" s="582"/>
      <c r="ATO20" s="582"/>
      <c r="ATP20" s="582"/>
      <c r="ATQ20" s="582"/>
      <c r="ATR20" s="582"/>
      <c r="ATS20" s="582"/>
      <c r="ATT20" s="582"/>
      <c r="ATU20" s="582"/>
      <c r="ATV20" s="582"/>
      <c r="ATW20" s="582"/>
      <c r="ATX20" s="582"/>
      <c r="ATY20" s="582"/>
      <c r="ATZ20" s="582"/>
      <c r="AUA20" s="582"/>
      <c r="AUB20" s="582"/>
      <c r="AUC20" s="582"/>
      <c r="AUD20" s="582"/>
      <c r="AUE20" s="582"/>
      <c r="AUF20" s="582"/>
      <c r="AUG20" s="582"/>
      <c r="AUH20" s="582"/>
      <c r="AUI20" s="582"/>
      <c r="AUJ20" s="582"/>
      <c r="AUK20" s="582"/>
      <c r="AUL20" s="582"/>
      <c r="AUM20" s="582"/>
      <c r="AUN20" s="582"/>
      <c r="AUO20" s="582"/>
      <c r="AUP20" s="582"/>
      <c r="AUQ20" s="582"/>
      <c r="AUR20" s="582"/>
      <c r="AUS20" s="582"/>
      <c r="AUT20" s="582"/>
      <c r="AUU20" s="582"/>
      <c r="AUV20" s="582"/>
      <c r="AUW20" s="582"/>
      <c r="AUX20" s="582"/>
      <c r="AUY20" s="582"/>
      <c r="AUZ20" s="582"/>
      <c r="AVA20" s="582"/>
      <c r="AVB20" s="582"/>
      <c r="AVC20" s="582"/>
      <c r="AVD20" s="582"/>
      <c r="AVE20" s="582"/>
      <c r="AVF20" s="582"/>
      <c r="AVG20" s="582"/>
      <c r="AVH20" s="582"/>
      <c r="AVI20" s="582"/>
      <c r="AVJ20" s="582"/>
      <c r="AVK20" s="582"/>
      <c r="AVL20" s="582"/>
      <c r="AVM20" s="582"/>
      <c r="AVN20" s="582"/>
      <c r="AVO20" s="582"/>
      <c r="AVP20" s="582"/>
      <c r="AVQ20" s="582"/>
      <c r="AVR20" s="582"/>
      <c r="AVS20" s="582"/>
      <c r="AVT20" s="582"/>
      <c r="AVU20" s="582"/>
      <c r="AVV20" s="582"/>
      <c r="AVW20" s="582"/>
      <c r="AVX20" s="582"/>
      <c r="AVY20" s="582"/>
      <c r="AVZ20" s="582"/>
      <c r="AWA20" s="582"/>
      <c r="AWB20" s="582"/>
      <c r="AWC20" s="582"/>
      <c r="AWD20" s="582"/>
      <c r="AWE20" s="582"/>
      <c r="AWF20" s="582"/>
      <c r="AWG20" s="582"/>
      <c r="AWH20" s="582"/>
      <c r="AWI20" s="582"/>
      <c r="AWJ20" s="582"/>
      <c r="AWK20" s="582"/>
      <c r="AWL20" s="582"/>
      <c r="AWM20" s="582"/>
      <c r="AWN20" s="582"/>
      <c r="AWO20" s="582"/>
      <c r="AWP20" s="582"/>
      <c r="AWQ20" s="582"/>
      <c r="AWR20" s="582"/>
      <c r="AWS20" s="582"/>
      <c r="AWT20" s="582"/>
      <c r="AWU20" s="582"/>
      <c r="AWV20" s="582"/>
      <c r="AWW20" s="582"/>
      <c r="AWX20" s="582"/>
      <c r="AWY20" s="582"/>
      <c r="AWZ20" s="582"/>
      <c r="AXA20" s="582"/>
      <c r="AXB20" s="582"/>
      <c r="AXC20" s="582"/>
      <c r="AXD20" s="582"/>
      <c r="AXE20" s="582"/>
      <c r="AXF20" s="582"/>
      <c r="AXG20" s="582"/>
      <c r="AXH20" s="582"/>
      <c r="AXI20" s="582"/>
      <c r="AXJ20" s="582"/>
      <c r="AXK20" s="582"/>
      <c r="AXL20" s="582"/>
      <c r="AXM20" s="582"/>
      <c r="AXN20" s="582"/>
      <c r="AXO20" s="582"/>
      <c r="AXP20" s="582"/>
      <c r="AXQ20" s="582"/>
      <c r="AXR20" s="582"/>
      <c r="AXS20" s="582"/>
      <c r="AXT20" s="582"/>
      <c r="AXU20" s="582"/>
      <c r="AXV20" s="582"/>
      <c r="AXW20" s="582"/>
      <c r="AXX20" s="582"/>
      <c r="AXY20" s="582"/>
      <c r="AXZ20" s="582"/>
      <c r="AYA20" s="582"/>
      <c r="AYB20" s="582"/>
      <c r="AYC20" s="582"/>
      <c r="AYD20" s="582"/>
      <c r="AYE20" s="582"/>
      <c r="AYF20" s="582"/>
      <c r="AYG20" s="582"/>
      <c r="AYH20" s="582"/>
      <c r="AYI20" s="582"/>
      <c r="AYJ20" s="582"/>
      <c r="AYK20" s="582"/>
      <c r="AYL20" s="582"/>
      <c r="AYM20" s="582"/>
      <c r="AYN20" s="582"/>
      <c r="AYO20" s="582"/>
      <c r="AYP20" s="582"/>
      <c r="AYQ20" s="582"/>
      <c r="AYR20" s="582"/>
      <c r="AYS20" s="582"/>
      <c r="AYT20" s="582"/>
      <c r="AYU20" s="582"/>
      <c r="AYV20" s="582"/>
      <c r="AYW20" s="582"/>
      <c r="AYX20" s="582"/>
      <c r="AYY20" s="582"/>
      <c r="AYZ20" s="582"/>
      <c r="AZA20" s="582"/>
      <c r="AZB20" s="582"/>
      <c r="AZC20" s="582"/>
      <c r="AZD20" s="582"/>
      <c r="AZE20" s="582"/>
      <c r="AZF20" s="582"/>
      <c r="AZG20" s="582"/>
      <c r="AZH20" s="582"/>
      <c r="AZI20" s="582"/>
      <c r="AZJ20" s="582"/>
      <c r="AZK20" s="582"/>
      <c r="AZL20" s="582"/>
      <c r="AZM20" s="582"/>
      <c r="AZN20" s="582"/>
      <c r="AZO20" s="582"/>
      <c r="AZP20" s="582"/>
      <c r="AZQ20" s="582"/>
      <c r="AZR20" s="582"/>
      <c r="AZS20" s="582"/>
      <c r="AZT20" s="582"/>
      <c r="AZU20" s="582"/>
      <c r="AZV20" s="582"/>
      <c r="AZW20" s="582"/>
      <c r="AZX20" s="582"/>
      <c r="AZY20" s="582"/>
      <c r="AZZ20" s="582"/>
      <c r="BAA20" s="582"/>
      <c r="BAB20" s="582"/>
      <c r="BAC20" s="582"/>
      <c r="BAD20" s="582"/>
      <c r="BAE20" s="582"/>
      <c r="BAF20" s="582"/>
      <c r="BAG20" s="582"/>
      <c r="BAH20" s="582"/>
      <c r="BAI20" s="582"/>
      <c r="BAJ20" s="582"/>
      <c r="BAK20" s="582"/>
      <c r="BAL20" s="582"/>
      <c r="BAM20" s="582"/>
      <c r="BAN20" s="582"/>
      <c r="BAO20" s="582"/>
      <c r="BAP20" s="582"/>
      <c r="BAQ20" s="582"/>
      <c r="BAR20" s="582"/>
      <c r="BAS20" s="582"/>
      <c r="BAT20" s="582"/>
      <c r="BAU20" s="582"/>
      <c r="BAV20" s="582"/>
      <c r="BAW20" s="582"/>
      <c r="BAX20" s="582"/>
      <c r="BAY20" s="582"/>
      <c r="BAZ20" s="582"/>
      <c r="BBA20" s="582"/>
      <c r="BBB20" s="582"/>
      <c r="BBC20" s="582"/>
      <c r="BBD20" s="582"/>
      <c r="BBE20" s="582"/>
      <c r="BBF20" s="582"/>
      <c r="BBG20" s="582"/>
      <c r="BBH20" s="582"/>
      <c r="BBI20" s="582"/>
      <c r="BBJ20" s="582"/>
      <c r="BBK20" s="582"/>
      <c r="BBL20" s="582"/>
      <c r="BBM20" s="582"/>
      <c r="BBN20" s="582"/>
      <c r="BBO20" s="582"/>
      <c r="BBP20" s="582"/>
      <c r="BBQ20" s="582"/>
      <c r="BBR20" s="582"/>
      <c r="BBS20" s="582"/>
      <c r="BBT20" s="582"/>
      <c r="BBU20" s="582"/>
      <c r="BBV20" s="582"/>
      <c r="BBW20" s="582"/>
      <c r="BBX20" s="582"/>
      <c r="BBY20" s="582"/>
      <c r="BBZ20" s="582"/>
      <c r="BCA20" s="582"/>
      <c r="BCB20" s="582"/>
      <c r="BCC20" s="582"/>
      <c r="BCD20" s="582"/>
      <c r="BCE20" s="582"/>
      <c r="BCF20" s="582"/>
      <c r="BCG20" s="582"/>
      <c r="BCH20" s="582"/>
      <c r="BCI20" s="582"/>
      <c r="BCJ20" s="582"/>
      <c r="BCK20" s="582"/>
      <c r="BCL20" s="582"/>
      <c r="BCM20" s="582"/>
      <c r="BCN20" s="582"/>
      <c r="BCO20" s="582"/>
      <c r="BCP20" s="582"/>
      <c r="BCQ20" s="582"/>
      <c r="BCR20" s="582"/>
      <c r="BCS20" s="582"/>
      <c r="BCT20" s="582"/>
      <c r="BCU20" s="582"/>
      <c r="BCV20" s="582"/>
      <c r="BCW20" s="582"/>
      <c r="BCX20" s="582"/>
      <c r="BCY20" s="582"/>
      <c r="BCZ20" s="582"/>
      <c r="BDA20" s="582"/>
      <c r="BDB20" s="582"/>
      <c r="BDC20" s="582"/>
      <c r="BDD20" s="582"/>
      <c r="BDE20" s="582"/>
      <c r="BDF20" s="582"/>
      <c r="BDG20" s="582"/>
      <c r="BDH20" s="582"/>
      <c r="BDI20" s="582"/>
      <c r="BDJ20" s="582"/>
      <c r="BDK20" s="582"/>
      <c r="BDL20" s="582"/>
      <c r="BDM20" s="582"/>
      <c r="BDN20" s="582"/>
      <c r="BDO20" s="582"/>
      <c r="BDP20" s="582"/>
      <c r="BDQ20" s="582"/>
      <c r="BDR20" s="582"/>
      <c r="BDS20" s="582"/>
      <c r="BDT20" s="582"/>
      <c r="BDU20" s="582"/>
      <c r="BDV20" s="582"/>
      <c r="BDW20" s="582"/>
      <c r="BDX20" s="582"/>
      <c r="BDY20" s="582"/>
      <c r="BDZ20" s="582"/>
      <c r="BEA20" s="582"/>
      <c r="BEB20" s="582"/>
      <c r="BEC20" s="582"/>
      <c r="BED20" s="582"/>
      <c r="BEE20" s="582"/>
      <c r="BEF20" s="582"/>
      <c r="BEG20" s="582"/>
      <c r="BEH20" s="582"/>
      <c r="BEI20" s="582"/>
      <c r="BEJ20" s="582"/>
      <c r="BEK20" s="582"/>
      <c r="BEL20" s="582"/>
      <c r="BEM20" s="582"/>
      <c r="BEN20" s="582"/>
      <c r="BEO20" s="582"/>
      <c r="BEP20" s="582"/>
      <c r="BEQ20" s="582"/>
      <c r="BER20" s="582"/>
      <c r="BES20" s="582"/>
      <c r="BET20" s="582"/>
      <c r="BEU20" s="582"/>
      <c r="BEV20" s="582"/>
      <c r="BEW20" s="582"/>
      <c r="BEX20" s="582"/>
      <c r="BEY20" s="582"/>
      <c r="BEZ20" s="582"/>
      <c r="BFA20" s="582"/>
      <c r="BFB20" s="582"/>
      <c r="BFC20" s="582"/>
      <c r="BFD20" s="582"/>
      <c r="BFE20" s="582"/>
      <c r="BFF20" s="582"/>
      <c r="BFG20" s="582"/>
      <c r="BFH20" s="582"/>
      <c r="BFI20" s="582"/>
      <c r="BFJ20" s="582"/>
      <c r="BFK20" s="582"/>
      <c r="BFL20" s="582"/>
      <c r="BFM20" s="582"/>
      <c r="BFN20" s="582"/>
      <c r="BFO20" s="582"/>
      <c r="BFP20" s="582"/>
      <c r="BFQ20" s="582"/>
      <c r="BFR20" s="582"/>
      <c r="BFS20" s="582"/>
      <c r="BFT20" s="582"/>
      <c r="BFU20" s="582"/>
      <c r="BFV20" s="582"/>
      <c r="BFW20" s="582"/>
      <c r="BFX20" s="582"/>
      <c r="BFY20" s="582"/>
      <c r="BFZ20" s="582"/>
      <c r="BGA20" s="582"/>
      <c r="BGB20" s="582"/>
      <c r="BGC20" s="582"/>
      <c r="BGD20" s="582"/>
      <c r="BGE20" s="582"/>
      <c r="BGF20" s="582"/>
      <c r="BGG20" s="582"/>
      <c r="BGH20" s="582"/>
      <c r="BGI20" s="582"/>
      <c r="BGJ20" s="582"/>
      <c r="BGK20" s="582"/>
      <c r="BGL20" s="582"/>
      <c r="BGM20" s="582"/>
      <c r="BGN20" s="582"/>
      <c r="BGO20" s="582"/>
      <c r="BGP20" s="582"/>
      <c r="BGQ20" s="582"/>
      <c r="BGR20" s="582"/>
      <c r="BGS20" s="582"/>
      <c r="BGT20" s="582"/>
      <c r="BGU20" s="582"/>
      <c r="BGV20" s="582"/>
      <c r="BGW20" s="582"/>
      <c r="BGX20" s="582"/>
      <c r="BGY20" s="582"/>
      <c r="BGZ20" s="582"/>
      <c r="BHA20" s="582"/>
      <c r="BHB20" s="582"/>
      <c r="BHC20" s="582"/>
      <c r="BHD20" s="582"/>
      <c r="BHE20" s="582"/>
      <c r="BHF20" s="582"/>
      <c r="BHG20" s="582"/>
      <c r="BHH20" s="582"/>
      <c r="BHI20" s="582"/>
      <c r="BHJ20" s="582"/>
      <c r="BHK20" s="582"/>
      <c r="BHL20" s="582"/>
      <c r="BHM20" s="582"/>
      <c r="BHN20" s="582"/>
      <c r="BHO20" s="582"/>
      <c r="BHP20" s="582"/>
      <c r="BHQ20" s="582"/>
      <c r="BHR20" s="582"/>
      <c r="BHS20" s="582"/>
      <c r="BHT20" s="582"/>
      <c r="BHU20" s="582"/>
      <c r="BHV20" s="582"/>
      <c r="BHW20" s="582"/>
      <c r="BHX20" s="582"/>
      <c r="BHY20" s="582"/>
      <c r="BHZ20" s="582"/>
      <c r="BIA20" s="582"/>
      <c r="BIB20" s="582"/>
      <c r="BIC20" s="582"/>
      <c r="BID20" s="582"/>
      <c r="BIE20" s="582"/>
      <c r="BIF20" s="582"/>
      <c r="BIG20" s="582"/>
      <c r="BIH20" s="582"/>
      <c r="BII20" s="582"/>
      <c r="BIJ20" s="582"/>
      <c r="BIK20" s="582"/>
      <c r="BIL20" s="582"/>
      <c r="BIM20" s="582"/>
      <c r="BIN20" s="582"/>
      <c r="BIO20" s="582"/>
      <c r="BIP20" s="582"/>
      <c r="BIQ20" s="582"/>
      <c r="BIR20" s="582"/>
      <c r="BIS20" s="582"/>
      <c r="BIT20" s="582"/>
      <c r="BIU20" s="582"/>
      <c r="BIV20" s="582"/>
      <c r="BIW20" s="582"/>
      <c r="BIX20" s="582"/>
      <c r="BIY20" s="582"/>
      <c r="BIZ20" s="582"/>
      <c r="BJA20" s="582"/>
      <c r="BJB20" s="582"/>
      <c r="BJC20" s="582"/>
      <c r="BJD20" s="582"/>
      <c r="BJE20" s="582"/>
      <c r="BJF20" s="582"/>
      <c r="BJG20" s="582"/>
      <c r="BJH20" s="582"/>
      <c r="BJI20" s="582"/>
      <c r="BJJ20" s="582"/>
      <c r="BJK20" s="582"/>
      <c r="BJL20" s="582"/>
      <c r="BJM20" s="582"/>
      <c r="BJN20" s="582"/>
      <c r="BJO20" s="582"/>
      <c r="BJP20" s="582"/>
      <c r="BJQ20" s="582"/>
      <c r="BJR20" s="582"/>
      <c r="BJS20" s="582"/>
      <c r="BJT20" s="582"/>
      <c r="BJU20" s="582"/>
      <c r="BJV20" s="582"/>
      <c r="BJW20" s="582"/>
      <c r="BJX20" s="582"/>
      <c r="BJY20" s="582"/>
      <c r="BJZ20" s="582"/>
      <c r="BKA20" s="582"/>
      <c r="BKB20" s="582"/>
      <c r="BKC20" s="582"/>
      <c r="BKD20" s="582"/>
      <c r="BKE20" s="582"/>
      <c r="BKF20" s="582"/>
      <c r="BKG20" s="582"/>
      <c r="BKH20" s="582"/>
      <c r="BKI20" s="582"/>
      <c r="BKJ20" s="582"/>
      <c r="BKK20" s="582"/>
      <c r="BKL20" s="582"/>
      <c r="BKM20" s="582"/>
      <c r="BKN20" s="582"/>
      <c r="BKO20" s="582"/>
      <c r="BKP20" s="582"/>
      <c r="BKQ20" s="582"/>
      <c r="BKR20" s="582"/>
      <c r="BKS20" s="582"/>
      <c r="BKT20" s="582"/>
      <c r="BKU20" s="582"/>
      <c r="BKV20" s="582"/>
      <c r="BKW20" s="582"/>
      <c r="BKX20" s="582"/>
      <c r="BKY20" s="582"/>
      <c r="BKZ20" s="582"/>
      <c r="BLA20" s="582"/>
      <c r="BLB20" s="582"/>
      <c r="BLC20" s="582"/>
      <c r="BLD20" s="582"/>
      <c r="BLE20" s="582"/>
      <c r="BLF20" s="582"/>
      <c r="BLG20" s="582"/>
      <c r="BLH20" s="582"/>
      <c r="BLI20" s="582"/>
      <c r="BLJ20" s="582"/>
      <c r="BLK20" s="582"/>
      <c r="BLL20" s="582"/>
      <c r="BLM20" s="582"/>
      <c r="BLN20" s="582"/>
      <c r="BLO20" s="582"/>
      <c r="BLP20" s="582"/>
      <c r="BLQ20" s="582"/>
      <c r="BLR20" s="582"/>
      <c r="BLS20" s="582"/>
      <c r="BLT20" s="582"/>
      <c r="BLU20" s="582"/>
      <c r="BLV20" s="582"/>
      <c r="BLW20" s="582"/>
      <c r="BLX20" s="582"/>
      <c r="BLY20" s="582"/>
      <c r="BLZ20" s="582"/>
      <c r="BMA20" s="582"/>
      <c r="BMB20" s="582"/>
      <c r="BMC20" s="582"/>
      <c r="BMD20" s="582"/>
      <c r="BME20" s="582"/>
      <c r="BMF20" s="582"/>
      <c r="BMG20" s="582"/>
      <c r="BMH20" s="582"/>
      <c r="BMI20" s="582"/>
      <c r="BMJ20" s="582"/>
      <c r="BMK20" s="582"/>
      <c r="BML20" s="582"/>
      <c r="BMM20" s="582"/>
      <c r="BMN20" s="582"/>
      <c r="BMO20" s="582"/>
      <c r="BMP20" s="582"/>
      <c r="BMQ20" s="582"/>
      <c r="BMR20" s="582"/>
      <c r="BMS20" s="582"/>
      <c r="BMT20" s="582"/>
      <c r="BMU20" s="582"/>
      <c r="BMV20" s="582"/>
      <c r="BMW20" s="582"/>
      <c r="BMX20" s="582"/>
      <c r="BMY20" s="582"/>
      <c r="BMZ20" s="582"/>
      <c r="BNA20" s="582"/>
      <c r="BNB20" s="582"/>
      <c r="BNC20" s="582"/>
      <c r="BND20" s="582"/>
      <c r="BNE20" s="582"/>
      <c r="BNF20" s="582"/>
      <c r="BNG20" s="582"/>
      <c r="BNH20" s="582"/>
      <c r="BNI20" s="582"/>
      <c r="BNJ20" s="582"/>
      <c r="BNK20" s="582"/>
      <c r="BNL20" s="582"/>
      <c r="BNM20" s="582"/>
      <c r="BNN20" s="582"/>
      <c r="BNO20" s="582"/>
      <c r="BNP20" s="582"/>
      <c r="BNQ20" s="582"/>
      <c r="BNR20" s="582"/>
      <c r="BNS20" s="582"/>
      <c r="BNT20" s="582"/>
      <c r="BNU20" s="582"/>
      <c r="BNV20" s="582"/>
      <c r="BNW20" s="582"/>
      <c r="BNX20" s="582"/>
      <c r="BNY20" s="582"/>
      <c r="BNZ20" s="582"/>
      <c r="BOA20" s="582"/>
      <c r="BOB20" s="582"/>
      <c r="BOC20" s="582"/>
      <c r="BOD20" s="582"/>
      <c r="BOE20" s="582"/>
      <c r="BOF20" s="582"/>
      <c r="BOG20" s="582"/>
      <c r="BOH20" s="582"/>
      <c r="BOI20" s="582"/>
      <c r="BOJ20" s="582"/>
      <c r="BOK20" s="582"/>
      <c r="BOL20" s="582"/>
      <c r="BOM20" s="582"/>
      <c r="BON20" s="582"/>
      <c r="BOO20" s="582"/>
      <c r="BOP20" s="582"/>
      <c r="BOQ20" s="582"/>
      <c r="BOR20" s="582"/>
      <c r="BOS20" s="582"/>
      <c r="BOT20" s="582"/>
      <c r="BOU20" s="582"/>
      <c r="BOV20" s="582"/>
      <c r="BOW20" s="582"/>
      <c r="BOX20" s="582"/>
      <c r="BOY20" s="582"/>
      <c r="BOZ20" s="582"/>
      <c r="BPA20" s="582"/>
      <c r="BPB20" s="582"/>
      <c r="BPC20" s="582"/>
      <c r="BPD20" s="582"/>
      <c r="BPE20" s="582"/>
      <c r="BPF20" s="582"/>
      <c r="BPG20" s="582"/>
      <c r="BPH20" s="582"/>
      <c r="BPI20" s="582"/>
      <c r="BPJ20" s="582"/>
      <c r="BPK20" s="582"/>
      <c r="BPL20" s="582"/>
      <c r="BPM20" s="582"/>
      <c r="BPN20" s="582"/>
      <c r="BPO20" s="582"/>
      <c r="BPP20" s="582"/>
      <c r="BPQ20" s="582"/>
      <c r="BPR20" s="582"/>
      <c r="BPS20" s="582"/>
      <c r="BPT20" s="582"/>
      <c r="BPU20" s="582"/>
      <c r="BPV20" s="582"/>
      <c r="BPW20" s="582"/>
      <c r="BPX20" s="582"/>
      <c r="BPY20" s="582"/>
      <c r="BPZ20" s="582"/>
      <c r="BQA20" s="582"/>
      <c r="BQB20" s="582"/>
      <c r="BQC20" s="582"/>
      <c r="BQD20" s="582"/>
      <c r="BQE20" s="582"/>
      <c r="BQF20" s="582"/>
      <c r="BQG20" s="582"/>
      <c r="BQH20" s="582"/>
      <c r="BQI20" s="582"/>
      <c r="BQJ20" s="582"/>
      <c r="BQK20" s="582"/>
      <c r="BQL20" s="582"/>
      <c r="BQM20" s="582"/>
      <c r="BQN20" s="582"/>
      <c r="BQO20" s="582"/>
      <c r="BQP20" s="582"/>
      <c r="BQQ20" s="582"/>
      <c r="BQR20" s="582"/>
      <c r="BQS20" s="582"/>
      <c r="BQT20" s="582"/>
      <c r="BQU20" s="582"/>
      <c r="BQV20" s="582"/>
      <c r="BQW20" s="582"/>
      <c r="BQX20" s="582"/>
      <c r="BQY20" s="582"/>
      <c r="BQZ20" s="582"/>
      <c r="BRA20" s="582"/>
      <c r="BRB20" s="582"/>
      <c r="BRC20" s="582"/>
      <c r="BRD20" s="582"/>
      <c r="BRE20" s="582"/>
      <c r="BRF20" s="582"/>
      <c r="BRG20" s="582"/>
      <c r="BRH20" s="582"/>
      <c r="BRI20" s="582"/>
      <c r="BRJ20" s="582"/>
      <c r="BRK20" s="582"/>
      <c r="BRL20" s="582"/>
      <c r="BRM20" s="582"/>
      <c r="BRN20" s="582"/>
      <c r="BRO20" s="582"/>
      <c r="BRP20" s="582"/>
      <c r="BRQ20" s="582"/>
      <c r="BRR20" s="582"/>
      <c r="BRS20" s="582"/>
      <c r="BRT20" s="582"/>
      <c r="BRU20" s="582"/>
      <c r="BRV20" s="582"/>
      <c r="BRW20" s="582"/>
      <c r="BRX20" s="582"/>
      <c r="BRY20" s="582"/>
      <c r="BRZ20" s="582"/>
      <c r="BSA20" s="582"/>
      <c r="BSB20" s="582"/>
      <c r="BSC20" s="582"/>
      <c r="BSD20" s="582"/>
      <c r="BSE20" s="582"/>
      <c r="BSF20" s="582"/>
      <c r="BSG20" s="582"/>
      <c r="BSH20" s="582"/>
      <c r="BSI20" s="582"/>
      <c r="BSJ20" s="582"/>
      <c r="BSK20" s="582"/>
      <c r="BSL20" s="582"/>
      <c r="BSM20" s="582"/>
      <c r="BSN20" s="582"/>
      <c r="BSO20" s="582"/>
      <c r="BSP20" s="582"/>
      <c r="BSQ20" s="582"/>
      <c r="BSR20" s="582"/>
      <c r="BSS20" s="582"/>
      <c r="BST20" s="582"/>
      <c r="BSU20" s="582"/>
      <c r="BSV20" s="582"/>
      <c r="BSW20" s="582"/>
      <c r="BSX20" s="582"/>
      <c r="BSY20" s="582"/>
      <c r="BSZ20" s="582"/>
      <c r="BTA20" s="582"/>
      <c r="BTB20" s="582"/>
      <c r="BTC20" s="582"/>
      <c r="BTD20" s="582"/>
      <c r="BTE20" s="582"/>
      <c r="BTF20" s="582"/>
      <c r="BTG20" s="582"/>
      <c r="BTH20" s="582"/>
      <c r="BTI20" s="582"/>
      <c r="BTJ20" s="582"/>
      <c r="BTK20" s="582"/>
      <c r="BTL20" s="582"/>
      <c r="BTM20" s="582"/>
      <c r="BTN20" s="582"/>
      <c r="BTO20" s="582"/>
      <c r="BTP20" s="582"/>
      <c r="BTQ20" s="582"/>
      <c r="BTR20" s="582"/>
      <c r="BTS20" s="582"/>
      <c r="BTT20" s="582"/>
      <c r="BTU20" s="582"/>
      <c r="BTV20" s="582"/>
      <c r="BTW20" s="582"/>
      <c r="BTX20" s="582"/>
      <c r="BTY20" s="582"/>
      <c r="BTZ20" s="582"/>
      <c r="BUA20" s="582"/>
      <c r="BUB20" s="582"/>
      <c r="BUC20" s="582"/>
      <c r="BUD20" s="582"/>
      <c r="BUE20" s="582"/>
      <c r="BUF20" s="582"/>
      <c r="BUG20" s="582"/>
      <c r="BUH20" s="582"/>
      <c r="BUI20" s="582"/>
      <c r="BUJ20" s="582"/>
      <c r="BUK20" s="582"/>
      <c r="BUL20" s="582"/>
      <c r="BUM20" s="582"/>
      <c r="BUN20" s="582"/>
      <c r="BUO20" s="582"/>
      <c r="BUP20" s="582"/>
      <c r="BUQ20" s="582"/>
      <c r="BUR20" s="582"/>
      <c r="BUS20" s="582"/>
      <c r="BUT20" s="582"/>
      <c r="BUU20" s="582"/>
      <c r="BUV20" s="582"/>
      <c r="BUW20" s="582"/>
      <c r="BUX20" s="582"/>
      <c r="BUY20" s="582"/>
      <c r="BUZ20" s="582"/>
      <c r="BVA20" s="582"/>
      <c r="BVB20" s="582"/>
      <c r="BVC20" s="582"/>
      <c r="BVD20" s="582"/>
      <c r="BVE20" s="582"/>
      <c r="BVF20" s="582"/>
      <c r="BVG20" s="582"/>
      <c r="BVH20" s="582"/>
      <c r="BVI20" s="582"/>
      <c r="BVJ20" s="582"/>
      <c r="BVK20" s="582"/>
      <c r="BVL20" s="582"/>
      <c r="BVM20" s="582"/>
      <c r="BVN20" s="582"/>
      <c r="BVO20" s="582"/>
      <c r="BVP20" s="582"/>
      <c r="BVQ20" s="582"/>
      <c r="BVR20" s="582"/>
      <c r="BVS20" s="582"/>
      <c r="BVT20" s="582"/>
      <c r="BVU20" s="582"/>
      <c r="BVV20" s="582"/>
      <c r="BVW20" s="582"/>
      <c r="BVX20" s="582"/>
      <c r="BVY20" s="582"/>
      <c r="BVZ20" s="582"/>
      <c r="BWA20" s="582"/>
      <c r="BWB20" s="582"/>
      <c r="BWC20" s="582"/>
      <c r="BWD20" s="582"/>
      <c r="BWE20" s="582"/>
      <c r="BWF20" s="582"/>
      <c r="BWG20" s="582"/>
      <c r="BWH20" s="582"/>
      <c r="BWI20" s="582"/>
      <c r="BWJ20" s="582"/>
      <c r="BWK20" s="582"/>
      <c r="BWL20" s="582"/>
      <c r="BWM20" s="582"/>
      <c r="BWN20" s="582"/>
      <c r="BWO20" s="582"/>
      <c r="BWP20" s="582"/>
      <c r="BWQ20" s="582"/>
      <c r="BWR20" s="582"/>
      <c r="BWS20" s="582"/>
      <c r="BWT20" s="582"/>
      <c r="BWU20" s="582"/>
      <c r="BWV20" s="582"/>
      <c r="BWW20" s="582"/>
      <c r="BWX20" s="582"/>
      <c r="BWY20" s="582"/>
      <c r="BWZ20" s="582"/>
      <c r="BXA20" s="582"/>
      <c r="BXB20" s="582"/>
      <c r="BXC20" s="582"/>
      <c r="BXD20" s="582"/>
      <c r="BXE20" s="582"/>
      <c r="BXF20" s="582"/>
      <c r="BXG20" s="582"/>
      <c r="BXH20" s="582"/>
      <c r="BXI20" s="582"/>
      <c r="BXJ20" s="582"/>
      <c r="BXK20" s="582"/>
      <c r="BXL20" s="582"/>
      <c r="BXM20" s="582"/>
      <c r="BXN20" s="582"/>
      <c r="BXO20" s="582"/>
      <c r="BXP20" s="582"/>
      <c r="BXQ20" s="582"/>
      <c r="BXR20" s="582"/>
      <c r="BXS20" s="582"/>
      <c r="BXT20" s="582"/>
      <c r="BXU20" s="582"/>
      <c r="BXV20" s="582"/>
      <c r="BXW20" s="582"/>
      <c r="BXX20" s="582"/>
      <c r="BXY20" s="582"/>
      <c r="BXZ20" s="582"/>
      <c r="BYA20" s="582"/>
      <c r="BYB20" s="582"/>
      <c r="BYC20" s="582"/>
      <c r="BYD20" s="582"/>
      <c r="BYE20" s="582"/>
      <c r="BYF20" s="582"/>
      <c r="BYG20" s="582"/>
      <c r="BYH20" s="582"/>
      <c r="BYI20" s="582"/>
      <c r="BYJ20" s="582"/>
      <c r="BYK20" s="582"/>
      <c r="BYL20" s="582"/>
      <c r="BYM20" s="582"/>
      <c r="BYN20" s="582"/>
      <c r="BYO20" s="582"/>
      <c r="BYP20" s="582"/>
      <c r="BYQ20" s="582"/>
      <c r="BYR20" s="582"/>
      <c r="BYS20" s="582"/>
      <c r="BYT20" s="582"/>
      <c r="BYU20" s="582"/>
      <c r="BYV20" s="582"/>
      <c r="BYW20" s="582"/>
      <c r="BYX20" s="582"/>
      <c r="BYY20" s="582"/>
      <c r="BYZ20" s="582"/>
      <c r="BZA20" s="582"/>
      <c r="BZB20" s="582"/>
      <c r="BZC20" s="582"/>
      <c r="BZD20" s="582"/>
      <c r="BZE20" s="582"/>
      <c r="BZF20" s="582"/>
      <c r="BZG20" s="582"/>
      <c r="BZH20" s="582"/>
      <c r="BZI20" s="582"/>
      <c r="BZJ20" s="582"/>
      <c r="BZK20" s="582"/>
      <c r="BZL20" s="582"/>
      <c r="BZM20" s="582"/>
      <c r="BZN20" s="582"/>
      <c r="BZO20" s="582"/>
      <c r="BZP20" s="582"/>
      <c r="BZQ20" s="582"/>
      <c r="BZR20" s="582"/>
      <c r="BZS20" s="582"/>
      <c r="BZT20" s="582"/>
      <c r="BZU20" s="582"/>
      <c r="BZV20" s="582"/>
      <c r="BZW20" s="582"/>
      <c r="BZX20" s="582"/>
      <c r="BZY20" s="582"/>
      <c r="BZZ20" s="582"/>
      <c r="CAA20" s="582"/>
      <c r="CAB20" s="582"/>
      <c r="CAC20" s="582"/>
      <c r="CAD20" s="582"/>
      <c r="CAE20" s="582"/>
      <c r="CAF20" s="582"/>
      <c r="CAG20" s="582"/>
      <c r="CAH20" s="582"/>
      <c r="CAI20" s="582"/>
      <c r="CAJ20" s="582"/>
      <c r="CAK20" s="582"/>
      <c r="CAL20" s="582"/>
      <c r="CAM20" s="582"/>
      <c r="CAN20" s="582"/>
      <c r="CAO20" s="582"/>
      <c r="CAP20" s="582"/>
      <c r="CAQ20" s="582"/>
      <c r="CAR20" s="582"/>
      <c r="CAS20" s="582"/>
      <c r="CAT20" s="582"/>
      <c r="CAU20" s="582"/>
      <c r="CAV20" s="582"/>
      <c r="CAW20" s="582"/>
      <c r="CAX20" s="582"/>
      <c r="CAY20" s="582"/>
      <c r="CAZ20" s="582"/>
      <c r="CBA20" s="582"/>
      <c r="CBB20" s="582"/>
      <c r="CBC20" s="582"/>
      <c r="CBD20" s="582"/>
      <c r="CBE20" s="582"/>
      <c r="CBF20" s="582"/>
      <c r="CBG20" s="582"/>
      <c r="CBH20" s="582"/>
      <c r="CBI20" s="582"/>
      <c r="CBJ20" s="582"/>
      <c r="CBK20" s="582"/>
      <c r="CBL20" s="582"/>
      <c r="CBM20" s="582"/>
      <c r="CBN20" s="582"/>
      <c r="CBO20" s="582"/>
      <c r="CBP20" s="582"/>
      <c r="CBQ20" s="582"/>
      <c r="CBR20" s="582"/>
      <c r="CBS20" s="582"/>
      <c r="CBT20" s="582"/>
      <c r="CBU20" s="582"/>
      <c r="CBV20" s="582"/>
      <c r="CBW20" s="582"/>
      <c r="CBX20" s="582"/>
      <c r="CBY20" s="582"/>
      <c r="CBZ20" s="582"/>
      <c r="CCA20" s="582"/>
      <c r="CCB20" s="582"/>
      <c r="CCC20" s="582"/>
      <c r="CCD20" s="582"/>
      <c r="CCE20" s="582"/>
      <c r="CCF20" s="582"/>
      <c r="CCG20" s="582"/>
      <c r="CCH20" s="582"/>
      <c r="CCI20" s="582"/>
      <c r="CCJ20" s="582"/>
      <c r="CCK20" s="582"/>
      <c r="CCL20" s="582"/>
      <c r="CCM20" s="582"/>
      <c r="CCN20" s="582"/>
      <c r="CCO20" s="582"/>
      <c r="CCP20" s="582"/>
      <c r="CCQ20" s="582"/>
      <c r="CCR20" s="582"/>
      <c r="CCS20" s="582"/>
      <c r="CCT20" s="582"/>
      <c r="CCU20" s="582"/>
      <c r="CCV20" s="582"/>
      <c r="CCW20" s="582"/>
      <c r="CCX20" s="582"/>
      <c r="CCY20" s="582"/>
      <c r="CCZ20" s="582"/>
      <c r="CDA20" s="582"/>
      <c r="CDB20" s="582"/>
      <c r="CDC20" s="582"/>
      <c r="CDD20" s="582"/>
      <c r="CDE20" s="582"/>
      <c r="CDF20" s="582"/>
      <c r="CDG20" s="582"/>
      <c r="CDH20" s="582"/>
      <c r="CDI20" s="582"/>
      <c r="CDJ20" s="582"/>
      <c r="CDK20" s="582"/>
      <c r="CDL20" s="582"/>
      <c r="CDM20" s="582"/>
      <c r="CDN20" s="582"/>
      <c r="CDO20" s="582"/>
      <c r="CDP20" s="582"/>
      <c r="CDQ20" s="582"/>
      <c r="CDR20" s="582"/>
      <c r="CDS20" s="582"/>
      <c r="CDT20" s="582"/>
      <c r="CDU20" s="582"/>
      <c r="CDV20" s="582"/>
      <c r="CDW20" s="582"/>
      <c r="CDX20" s="582"/>
      <c r="CDY20" s="582"/>
      <c r="CDZ20" s="582"/>
      <c r="CEA20" s="582"/>
      <c r="CEB20" s="582"/>
      <c r="CEC20" s="582"/>
      <c r="CED20" s="582"/>
      <c r="CEE20" s="582"/>
      <c r="CEF20" s="582"/>
      <c r="CEG20" s="582"/>
      <c r="CEH20" s="582"/>
      <c r="CEI20" s="582"/>
      <c r="CEJ20" s="582"/>
      <c r="CEK20" s="582"/>
      <c r="CEL20" s="582"/>
      <c r="CEM20" s="582"/>
      <c r="CEN20" s="582"/>
      <c r="CEO20" s="582"/>
      <c r="CEP20" s="582"/>
      <c r="CEQ20" s="582"/>
      <c r="CER20" s="582"/>
      <c r="CES20" s="582"/>
      <c r="CET20" s="582"/>
      <c r="CEU20" s="582"/>
      <c r="CEV20" s="582"/>
      <c r="CEW20" s="582"/>
      <c r="CEX20" s="582"/>
      <c r="CEY20" s="582"/>
      <c r="CEZ20" s="582"/>
      <c r="CFA20" s="582"/>
      <c r="CFB20" s="582"/>
      <c r="CFC20" s="582"/>
      <c r="CFD20" s="582"/>
      <c r="CFE20" s="582"/>
      <c r="CFF20" s="582"/>
      <c r="CFG20" s="582"/>
      <c r="CFH20" s="582"/>
      <c r="CFI20" s="582"/>
      <c r="CFJ20" s="582"/>
      <c r="CFK20" s="582"/>
      <c r="CFL20" s="582"/>
      <c r="CFM20" s="582"/>
      <c r="CFN20" s="582"/>
      <c r="CFO20" s="582"/>
      <c r="CFP20" s="582"/>
      <c r="CFQ20" s="582"/>
      <c r="CFR20" s="582"/>
      <c r="CFS20" s="582"/>
      <c r="CFT20" s="582"/>
      <c r="CFU20" s="582"/>
      <c r="CFV20" s="582"/>
      <c r="CFW20" s="582"/>
      <c r="CFX20" s="582"/>
      <c r="CFY20" s="582"/>
      <c r="CFZ20" s="582"/>
      <c r="CGA20" s="582"/>
      <c r="CGB20" s="582"/>
      <c r="CGC20" s="582"/>
      <c r="CGD20" s="582"/>
      <c r="CGE20" s="582"/>
      <c r="CGF20" s="582"/>
      <c r="CGG20" s="582"/>
      <c r="CGH20" s="582"/>
      <c r="CGI20" s="582"/>
      <c r="CGJ20" s="582"/>
      <c r="CGK20" s="582"/>
      <c r="CGL20" s="582"/>
      <c r="CGM20" s="582"/>
      <c r="CGN20" s="582"/>
      <c r="CGO20" s="582"/>
      <c r="CGP20" s="582"/>
      <c r="CGQ20" s="582"/>
      <c r="CGR20" s="582"/>
      <c r="CGS20" s="582"/>
      <c r="CGT20" s="582"/>
      <c r="CGU20" s="582"/>
      <c r="CGV20" s="582"/>
      <c r="CGW20" s="582"/>
      <c r="CGX20" s="582"/>
      <c r="CGY20" s="582"/>
      <c r="CGZ20" s="582"/>
      <c r="CHA20" s="582"/>
      <c r="CHB20" s="582"/>
      <c r="CHC20" s="582"/>
      <c r="CHD20" s="582"/>
      <c r="CHE20" s="582"/>
      <c r="CHF20" s="582"/>
      <c r="CHG20" s="582"/>
      <c r="CHH20" s="582"/>
      <c r="CHI20" s="582"/>
      <c r="CHJ20" s="582"/>
      <c r="CHK20" s="582"/>
      <c r="CHL20" s="582"/>
      <c r="CHM20" s="582"/>
      <c r="CHN20" s="582"/>
      <c r="CHO20" s="582"/>
      <c r="CHP20" s="582"/>
      <c r="CHQ20" s="582"/>
      <c r="CHR20" s="582"/>
      <c r="CHS20" s="582"/>
      <c r="CHT20" s="582"/>
      <c r="CHU20" s="582"/>
      <c r="CHV20" s="582"/>
      <c r="CHW20" s="582"/>
      <c r="CHX20" s="582"/>
      <c r="CHY20" s="582"/>
      <c r="CHZ20" s="582"/>
      <c r="CIA20" s="582"/>
      <c r="CIB20" s="582"/>
      <c r="CIC20" s="582"/>
      <c r="CID20" s="582"/>
      <c r="CIE20" s="582"/>
      <c r="CIF20" s="582"/>
      <c r="CIG20" s="582"/>
      <c r="CIH20" s="582"/>
      <c r="CII20" s="582"/>
      <c r="CIJ20" s="582"/>
      <c r="CIK20" s="582"/>
      <c r="CIL20" s="582"/>
      <c r="CIM20" s="582"/>
      <c r="CIN20" s="582"/>
      <c r="CIO20" s="582"/>
      <c r="CIP20" s="582"/>
      <c r="CIQ20" s="582"/>
      <c r="CIR20" s="582"/>
      <c r="CIS20" s="582"/>
      <c r="CIT20" s="582"/>
      <c r="CIU20" s="582"/>
      <c r="CIV20" s="582"/>
      <c r="CIW20" s="582"/>
      <c r="CIX20" s="582"/>
      <c r="CIY20" s="582"/>
      <c r="CIZ20" s="582"/>
      <c r="CJA20" s="582"/>
      <c r="CJB20" s="582"/>
      <c r="CJC20" s="582"/>
      <c r="CJD20" s="582"/>
      <c r="CJE20" s="582"/>
      <c r="CJF20" s="582"/>
      <c r="CJG20" s="582"/>
      <c r="CJH20" s="582"/>
      <c r="CJI20" s="582"/>
      <c r="CJJ20" s="582"/>
      <c r="CJK20" s="582"/>
      <c r="CJL20" s="582"/>
      <c r="CJM20" s="582"/>
      <c r="CJN20" s="582"/>
      <c r="CJO20" s="582"/>
      <c r="CJP20" s="582"/>
      <c r="CJQ20" s="582"/>
      <c r="CJR20" s="582"/>
      <c r="CJS20" s="582"/>
      <c r="CJT20" s="582"/>
      <c r="CJU20" s="582"/>
      <c r="CJV20" s="582"/>
      <c r="CJW20" s="582"/>
      <c r="CJX20" s="582"/>
      <c r="CJY20" s="582"/>
      <c r="CJZ20" s="582"/>
      <c r="CKA20" s="582"/>
      <c r="CKB20" s="582"/>
      <c r="CKC20" s="582"/>
      <c r="CKD20" s="582"/>
      <c r="CKE20" s="582"/>
      <c r="CKF20" s="582"/>
      <c r="CKG20" s="582"/>
      <c r="CKH20" s="582"/>
      <c r="CKI20" s="582"/>
      <c r="CKJ20" s="582"/>
      <c r="CKK20" s="582"/>
      <c r="CKL20" s="582"/>
      <c r="CKM20" s="582"/>
      <c r="CKN20" s="582"/>
      <c r="CKO20" s="582"/>
      <c r="CKP20" s="582"/>
      <c r="CKQ20" s="582"/>
      <c r="CKR20" s="582"/>
      <c r="CKS20" s="582"/>
      <c r="CKT20" s="582"/>
      <c r="CKU20" s="582"/>
      <c r="CKV20" s="582"/>
      <c r="CKW20" s="582"/>
      <c r="CKX20" s="582"/>
      <c r="CKY20" s="582"/>
      <c r="CKZ20" s="582"/>
      <c r="CLA20" s="582"/>
      <c r="CLB20" s="582"/>
      <c r="CLC20" s="582"/>
      <c r="CLD20" s="582"/>
      <c r="CLE20" s="582"/>
      <c r="CLF20" s="582"/>
      <c r="CLG20" s="582"/>
      <c r="CLH20" s="582"/>
      <c r="CLI20" s="582"/>
      <c r="CLJ20" s="582"/>
      <c r="CLK20" s="582"/>
      <c r="CLL20" s="582"/>
      <c r="CLM20" s="582"/>
      <c r="CLN20" s="582"/>
      <c r="CLO20" s="582"/>
      <c r="CLP20" s="582"/>
      <c r="CLQ20" s="582"/>
      <c r="CLR20" s="582"/>
      <c r="CLS20" s="582"/>
      <c r="CLT20" s="582"/>
      <c r="CLU20" s="582"/>
      <c r="CLV20" s="582"/>
      <c r="CLW20" s="582"/>
      <c r="CLX20" s="582"/>
      <c r="CLY20" s="582"/>
      <c r="CLZ20" s="582"/>
      <c r="CMA20" s="582"/>
      <c r="CMB20" s="582"/>
      <c r="CMC20" s="582"/>
      <c r="CMD20" s="582"/>
      <c r="CME20" s="582"/>
      <c r="CMF20" s="582"/>
      <c r="CMG20" s="582"/>
      <c r="CMH20" s="582"/>
      <c r="CMI20" s="582"/>
      <c r="CMJ20" s="582"/>
      <c r="CMK20" s="582"/>
      <c r="CML20" s="582"/>
      <c r="CMM20" s="582"/>
      <c r="CMN20" s="582"/>
      <c r="CMO20" s="582"/>
      <c r="CMP20" s="582"/>
      <c r="CMQ20" s="582"/>
      <c r="CMR20" s="582"/>
      <c r="CMS20" s="582"/>
      <c r="CMT20" s="582"/>
      <c r="CMU20" s="582"/>
      <c r="CMV20" s="582"/>
      <c r="CMW20" s="582"/>
      <c r="CMX20" s="582"/>
      <c r="CMY20" s="582"/>
      <c r="CMZ20" s="582"/>
      <c r="CNA20" s="582"/>
      <c r="CNB20" s="582"/>
      <c r="CNC20" s="582"/>
      <c r="CND20" s="582"/>
      <c r="CNE20" s="582"/>
      <c r="CNF20" s="582"/>
      <c r="CNG20" s="582"/>
      <c r="CNH20" s="582"/>
      <c r="CNI20" s="582"/>
      <c r="CNJ20" s="582"/>
      <c r="CNK20" s="582"/>
      <c r="CNL20" s="582"/>
      <c r="CNM20" s="582"/>
      <c r="CNN20" s="582"/>
      <c r="CNO20" s="582"/>
      <c r="CNP20" s="582"/>
      <c r="CNQ20" s="582"/>
      <c r="CNR20" s="582"/>
      <c r="CNS20" s="582"/>
      <c r="CNT20" s="582"/>
      <c r="CNU20" s="582"/>
      <c r="CNV20" s="582"/>
      <c r="CNW20" s="582"/>
      <c r="CNX20" s="582"/>
      <c r="CNY20" s="582"/>
      <c r="CNZ20" s="582"/>
      <c r="COA20" s="582"/>
      <c r="COB20" s="582"/>
      <c r="COC20" s="582"/>
      <c r="COD20" s="582"/>
      <c r="COE20" s="582"/>
      <c r="COF20" s="582"/>
      <c r="COG20" s="582"/>
      <c r="COH20" s="582"/>
      <c r="COI20" s="582"/>
      <c r="COJ20" s="582"/>
      <c r="COK20" s="582"/>
      <c r="COL20" s="582"/>
      <c r="COM20" s="582"/>
      <c r="CON20" s="582"/>
      <c r="COO20" s="582"/>
      <c r="COP20" s="582"/>
      <c r="COQ20" s="582"/>
      <c r="COR20" s="582"/>
      <c r="COS20" s="582"/>
      <c r="COT20" s="582"/>
      <c r="COU20" s="582"/>
      <c r="COV20" s="582"/>
      <c r="COW20" s="582"/>
      <c r="COX20" s="582"/>
      <c r="COY20" s="582"/>
      <c r="COZ20" s="582"/>
      <c r="CPA20" s="582"/>
      <c r="CPB20" s="582"/>
      <c r="CPC20" s="582"/>
      <c r="CPD20" s="582"/>
      <c r="CPE20" s="582"/>
      <c r="CPF20" s="582"/>
      <c r="CPG20" s="582"/>
      <c r="CPH20" s="582"/>
      <c r="CPI20" s="582"/>
      <c r="CPJ20" s="582"/>
      <c r="CPK20" s="582"/>
      <c r="CPL20" s="582"/>
      <c r="CPM20" s="582"/>
      <c r="CPN20" s="582"/>
      <c r="CPO20" s="582"/>
      <c r="CPP20" s="582"/>
      <c r="CPQ20" s="582"/>
      <c r="CPR20" s="582"/>
      <c r="CPS20" s="582"/>
      <c r="CPT20" s="582"/>
      <c r="CPU20" s="582"/>
      <c r="CPV20" s="582"/>
      <c r="CPW20" s="582"/>
      <c r="CPX20" s="582"/>
      <c r="CPY20" s="582"/>
      <c r="CPZ20" s="582"/>
      <c r="CQA20" s="582"/>
      <c r="CQB20" s="582"/>
      <c r="CQC20" s="582"/>
      <c r="CQD20" s="582"/>
      <c r="CQE20" s="582"/>
      <c r="CQF20" s="582"/>
      <c r="CQG20" s="582"/>
      <c r="CQH20" s="582"/>
      <c r="CQI20" s="582"/>
      <c r="CQJ20" s="582"/>
      <c r="CQK20" s="582"/>
      <c r="CQL20" s="582"/>
      <c r="CQM20" s="582"/>
      <c r="CQN20" s="582"/>
      <c r="CQO20" s="582"/>
      <c r="CQP20" s="582"/>
      <c r="CQQ20" s="582"/>
      <c r="CQR20" s="582"/>
      <c r="CQS20" s="582"/>
      <c r="CQT20" s="582"/>
      <c r="CQU20" s="582"/>
      <c r="CQV20" s="582"/>
      <c r="CQW20" s="582"/>
      <c r="CQX20" s="582"/>
      <c r="CQY20" s="582"/>
      <c r="CQZ20" s="582"/>
      <c r="CRA20" s="582"/>
      <c r="CRB20" s="582"/>
      <c r="CRC20" s="582"/>
      <c r="CRD20" s="582"/>
      <c r="CRE20" s="582"/>
      <c r="CRF20" s="582"/>
      <c r="CRG20" s="582"/>
      <c r="CRH20" s="582"/>
      <c r="CRI20" s="582"/>
      <c r="CRJ20" s="582"/>
      <c r="CRK20" s="582"/>
      <c r="CRL20" s="582"/>
      <c r="CRM20" s="582"/>
      <c r="CRN20" s="582"/>
      <c r="CRO20" s="582"/>
      <c r="CRP20" s="582"/>
      <c r="CRQ20" s="582"/>
      <c r="CRR20" s="582"/>
      <c r="CRS20" s="582"/>
      <c r="CRT20" s="582"/>
      <c r="CRU20" s="582"/>
      <c r="CRV20" s="582"/>
      <c r="CRW20" s="582"/>
      <c r="CRX20" s="582"/>
      <c r="CRY20" s="582"/>
      <c r="CRZ20" s="582"/>
      <c r="CSA20" s="582"/>
      <c r="CSB20" s="582"/>
      <c r="CSC20" s="582"/>
      <c r="CSD20" s="582"/>
      <c r="CSE20" s="582"/>
      <c r="CSF20" s="582"/>
      <c r="CSG20" s="582"/>
      <c r="CSH20" s="582"/>
      <c r="CSI20" s="582"/>
      <c r="CSJ20" s="582"/>
      <c r="CSK20" s="582"/>
      <c r="CSL20" s="582"/>
      <c r="CSM20" s="582"/>
      <c r="CSN20" s="582"/>
      <c r="CSO20" s="582"/>
      <c r="CSP20" s="582"/>
      <c r="CSQ20" s="582"/>
      <c r="CSR20" s="582"/>
      <c r="CSS20" s="582"/>
      <c r="CST20" s="582"/>
      <c r="CSU20" s="582"/>
      <c r="CSV20" s="582"/>
      <c r="CSW20" s="582"/>
      <c r="CSX20" s="582"/>
      <c r="CSY20" s="582"/>
      <c r="CSZ20" s="582"/>
      <c r="CTA20" s="582"/>
      <c r="CTB20" s="582"/>
      <c r="CTC20" s="582"/>
      <c r="CTD20" s="582"/>
      <c r="CTE20" s="582"/>
      <c r="CTF20" s="582"/>
      <c r="CTG20" s="582"/>
      <c r="CTH20" s="582"/>
      <c r="CTI20" s="582"/>
      <c r="CTJ20" s="582"/>
      <c r="CTK20" s="582"/>
      <c r="CTL20" s="582"/>
      <c r="CTM20" s="582"/>
      <c r="CTN20" s="582"/>
      <c r="CTO20" s="582"/>
      <c r="CTP20" s="582"/>
      <c r="CTQ20" s="582"/>
      <c r="CTR20" s="582"/>
      <c r="CTS20" s="582"/>
      <c r="CTT20" s="582"/>
      <c r="CTU20" s="582"/>
      <c r="CTV20" s="582"/>
      <c r="CTW20" s="582"/>
      <c r="CTX20" s="582"/>
      <c r="CTY20" s="582"/>
      <c r="CTZ20" s="582"/>
      <c r="CUA20" s="582"/>
      <c r="CUB20" s="582"/>
      <c r="CUC20" s="582"/>
      <c r="CUD20" s="582"/>
      <c r="CUE20" s="582"/>
      <c r="CUF20" s="582"/>
      <c r="CUG20" s="582"/>
      <c r="CUH20" s="582"/>
      <c r="CUI20" s="582"/>
      <c r="CUJ20" s="582"/>
      <c r="CUK20" s="582"/>
      <c r="CUL20" s="582"/>
      <c r="CUM20" s="582"/>
      <c r="CUN20" s="582"/>
      <c r="CUO20" s="582"/>
      <c r="CUP20" s="582"/>
      <c r="CUQ20" s="582"/>
      <c r="CUR20" s="582"/>
      <c r="CUS20" s="582"/>
      <c r="CUT20" s="582"/>
      <c r="CUU20" s="582"/>
      <c r="CUV20" s="582"/>
      <c r="CUW20" s="582"/>
      <c r="CUX20" s="582"/>
      <c r="CUY20" s="582"/>
      <c r="CUZ20" s="582"/>
      <c r="CVA20" s="582"/>
      <c r="CVB20" s="582"/>
      <c r="CVC20" s="582"/>
      <c r="CVD20" s="582"/>
      <c r="CVE20" s="582"/>
      <c r="CVF20" s="582"/>
      <c r="CVG20" s="582"/>
      <c r="CVH20" s="582"/>
      <c r="CVI20" s="582"/>
      <c r="CVJ20" s="582"/>
      <c r="CVK20" s="582"/>
      <c r="CVL20" s="582"/>
      <c r="CVM20" s="582"/>
      <c r="CVN20" s="582"/>
      <c r="CVO20" s="582"/>
      <c r="CVP20" s="582"/>
      <c r="CVQ20" s="582"/>
      <c r="CVR20" s="582"/>
      <c r="CVS20" s="582"/>
      <c r="CVT20" s="582"/>
      <c r="CVU20" s="582"/>
      <c r="CVV20" s="582"/>
      <c r="CVW20" s="582"/>
      <c r="CVX20" s="582"/>
      <c r="CVY20" s="582"/>
      <c r="CVZ20" s="582"/>
      <c r="CWA20" s="582"/>
      <c r="CWB20" s="582"/>
      <c r="CWC20" s="582"/>
      <c r="CWD20" s="582"/>
      <c r="CWE20" s="582"/>
      <c r="CWF20" s="582"/>
      <c r="CWG20" s="582"/>
      <c r="CWH20" s="582"/>
      <c r="CWI20" s="582"/>
      <c r="CWJ20" s="582"/>
      <c r="CWK20" s="582"/>
      <c r="CWL20" s="582"/>
      <c r="CWM20" s="582"/>
      <c r="CWN20" s="582"/>
      <c r="CWO20" s="582"/>
      <c r="CWP20" s="582"/>
      <c r="CWQ20" s="582"/>
      <c r="CWR20" s="582"/>
      <c r="CWS20" s="582"/>
      <c r="CWT20" s="582"/>
      <c r="CWU20" s="582"/>
      <c r="CWV20" s="582"/>
      <c r="CWW20" s="582"/>
      <c r="CWX20" s="582"/>
      <c r="CWY20" s="582"/>
      <c r="CWZ20" s="582"/>
      <c r="CXA20" s="582"/>
      <c r="CXB20" s="582"/>
      <c r="CXC20" s="582"/>
      <c r="CXD20" s="582"/>
      <c r="CXE20" s="582"/>
      <c r="CXF20" s="582"/>
      <c r="CXG20" s="582"/>
      <c r="CXH20" s="582"/>
      <c r="CXI20" s="582"/>
      <c r="CXJ20" s="582"/>
      <c r="CXK20" s="582"/>
      <c r="CXL20" s="582"/>
      <c r="CXM20" s="582"/>
      <c r="CXN20" s="582"/>
      <c r="CXO20" s="582"/>
      <c r="CXP20" s="582"/>
      <c r="CXQ20" s="582"/>
      <c r="CXR20" s="582"/>
      <c r="CXS20" s="582"/>
      <c r="CXT20" s="582"/>
      <c r="CXU20" s="582"/>
      <c r="CXV20" s="582"/>
      <c r="CXW20" s="582"/>
      <c r="CXX20" s="582"/>
      <c r="CXY20" s="582"/>
      <c r="CXZ20" s="582"/>
      <c r="CYA20" s="582"/>
      <c r="CYB20" s="582"/>
      <c r="CYC20" s="582"/>
      <c r="CYD20" s="582"/>
      <c r="CYE20" s="582"/>
      <c r="CYF20" s="582"/>
      <c r="CYG20" s="582"/>
      <c r="CYH20" s="582"/>
      <c r="CYI20" s="582"/>
      <c r="CYJ20" s="582"/>
      <c r="CYK20" s="582"/>
      <c r="CYL20" s="582"/>
      <c r="CYM20" s="582"/>
      <c r="CYN20" s="582"/>
      <c r="CYO20" s="582"/>
      <c r="CYP20" s="582"/>
      <c r="CYQ20" s="582"/>
      <c r="CYR20" s="582"/>
      <c r="CYS20" s="582"/>
      <c r="CYT20" s="582"/>
      <c r="CYU20" s="582"/>
      <c r="CYV20" s="582"/>
      <c r="CYW20" s="582"/>
      <c r="CYX20" s="582"/>
      <c r="CYY20" s="582"/>
      <c r="CYZ20" s="582"/>
      <c r="CZA20" s="582"/>
      <c r="CZB20" s="582"/>
      <c r="CZC20" s="582"/>
      <c r="CZD20" s="582"/>
      <c r="CZE20" s="582"/>
      <c r="CZF20" s="582"/>
      <c r="CZG20" s="582"/>
      <c r="CZH20" s="582"/>
      <c r="CZI20" s="582"/>
      <c r="CZJ20" s="582"/>
      <c r="CZK20" s="582"/>
      <c r="CZL20" s="582"/>
      <c r="CZM20" s="582"/>
      <c r="CZN20" s="582"/>
      <c r="CZO20" s="582"/>
      <c r="CZP20" s="582"/>
      <c r="CZQ20" s="582"/>
      <c r="CZR20" s="582"/>
      <c r="CZS20" s="582"/>
      <c r="CZT20" s="582"/>
      <c r="CZU20" s="582"/>
      <c r="CZV20" s="582"/>
      <c r="CZW20" s="582"/>
      <c r="CZX20" s="582"/>
      <c r="CZY20" s="582"/>
      <c r="CZZ20" s="582"/>
      <c r="DAA20" s="582"/>
      <c r="DAB20" s="582"/>
      <c r="DAC20" s="582"/>
      <c r="DAD20" s="582"/>
      <c r="DAE20" s="582"/>
      <c r="DAF20" s="582"/>
      <c r="DAG20" s="582"/>
      <c r="DAH20" s="582"/>
      <c r="DAI20" s="582"/>
      <c r="DAJ20" s="582"/>
      <c r="DAK20" s="582"/>
      <c r="DAL20" s="582"/>
      <c r="DAM20" s="582"/>
      <c r="DAN20" s="582"/>
      <c r="DAO20" s="582"/>
      <c r="DAP20" s="582"/>
      <c r="DAQ20" s="582"/>
      <c r="DAR20" s="582"/>
      <c r="DAS20" s="582"/>
      <c r="DAT20" s="582"/>
      <c r="DAU20" s="582"/>
      <c r="DAV20" s="582"/>
      <c r="DAW20" s="582"/>
      <c r="DAX20" s="582"/>
      <c r="DAY20" s="582"/>
      <c r="DAZ20" s="582"/>
      <c r="DBA20" s="582"/>
      <c r="DBB20" s="582"/>
      <c r="DBC20" s="582"/>
      <c r="DBD20" s="582"/>
      <c r="DBE20" s="582"/>
      <c r="DBF20" s="582"/>
      <c r="DBG20" s="582"/>
      <c r="DBH20" s="582"/>
      <c r="DBI20" s="582"/>
      <c r="DBJ20" s="582"/>
      <c r="DBK20" s="582"/>
      <c r="DBL20" s="582"/>
      <c r="DBM20" s="582"/>
      <c r="DBN20" s="582"/>
      <c r="DBO20" s="582"/>
      <c r="DBP20" s="582"/>
      <c r="DBQ20" s="582"/>
      <c r="DBR20" s="582"/>
      <c r="DBS20" s="582"/>
      <c r="DBT20" s="582"/>
      <c r="DBU20" s="582"/>
      <c r="DBV20" s="582"/>
      <c r="DBW20" s="582"/>
      <c r="DBX20" s="582"/>
      <c r="DBY20" s="582"/>
      <c r="DBZ20" s="582"/>
      <c r="DCA20" s="582"/>
      <c r="DCB20" s="582"/>
      <c r="DCC20" s="582"/>
      <c r="DCD20" s="582"/>
      <c r="DCE20" s="582"/>
      <c r="DCF20" s="582"/>
      <c r="DCG20" s="582"/>
      <c r="DCH20" s="582"/>
      <c r="DCI20" s="582"/>
      <c r="DCJ20" s="582"/>
      <c r="DCK20" s="582"/>
      <c r="DCL20" s="582"/>
      <c r="DCM20" s="582"/>
      <c r="DCN20" s="582"/>
      <c r="DCO20" s="582"/>
      <c r="DCP20" s="582"/>
      <c r="DCQ20" s="582"/>
      <c r="DCR20" s="582"/>
      <c r="DCS20" s="582"/>
      <c r="DCT20" s="582"/>
      <c r="DCU20" s="582"/>
      <c r="DCV20" s="582"/>
      <c r="DCW20" s="582"/>
      <c r="DCX20" s="582"/>
      <c r="DCY20" s="582"/>
      <c r="DCZ20" s="582"/>
      <c r="DDA20" s="582"/>
      <c r="DDB20" s="582"/>
      <c r="DDC20" s="582"/>
      <c r="DDD20" s="582"/>
      <c r="DDE20" s="582"/>
      <c r="DDF20" s="582"/>
      <c r="DDG20" s="582"/>
      <c r="DDH20" s="582"/>
      <c r="DDI20" s="582"/>
      <c r="DDJ20" s="582"/>
      <c r="DDK20" s="582"/>
      <c r="DDL20" s="582"/>
      <c r="DDM20" s="582"/>
      <c r="DDN20" s="582"/>
      <c r="DDO20" s="582"/>
      <c r="DDP20" s="582"/>
      <c r="DDQ20" s="582"/>
      <c r="DDR20" s="582"/>
      <c r="DDS20" s="582"/>
      <c r="DDT20" s="582"/>
      <c r="DDU20" s="582"/>
      <c r="DDV20" s="582"/>
      <c r="DDW20" s="582"/>
      <c r="DDX20" s="582"/>
      <c r="DDY20" s="582"/>
      <c r="DDZ20" s="582"/>
      <c r="DEA20" s="582"/>
      <c r="DEB20" s="582"/>
      <c r="DEC20" s="582"/>
      <c r="DED20" s="582"/>
      <c r="DEE20" s="582"/>
      <c r="DEF20" s="582"/>
      <c r="DEG20" s="582"/>
      <c r="DEH20" s="582"/>
      <c r="DEI20" s="582"/>
      <c r="DEJ20" s="582"/>
      <c r="DEK20" s="582"/>
      <c r="DEL20" s="582"/>
      <c r="DEM20" s="582"/>
      <c r="DEN20" s="582"/>
      <c r="DEO20" s="582"/>
      <c r="DEP20" s="582"/>
      <c r="DEQ20" s="582"/>
      <c r="DER20" s="582"/>
      <c r="DES20" s="582"/>
      <c r="DET20" s="582"/>
      <c r="DEU20" s="582"/>
      <c r="DEV20" s="582"/>
      <c r="DEW20" s="582"/>
      <c r="DEX20" s="582"/>
      <c r="DEY20" s="582"/>
      <c r="DEZ20" s="582"/>
      <c r="DFA20" s="582"/>
      <c r="DFB20" s="582"/>
      <c r="DFC20" s="582"/>
      <c r="DFD20" s="582"/>
      <c r="DFE20" s="582"/>
      <c r="DFF20" s="582"/>
      <c r="DFG20" s="582"/>
      <c r="DFH20" s="582"/>
      <c r="DFI20" s="582"/>
      <c r="DFJ20" s="582"/>
      <c r="DFK20" s="582"/>
      <c r="DFL20" s="582"/>
      <c r="DFM20" s="582"/>
      <c r="DFN20" s="582"/>
      <c r="DFO20" s="582"/>
      <c r="DFP20" s="582"/>
      <c r="DFQ20" s="582"/>
      <c r="DFR20" s="582"/>
      <c r="DFS20" s="582"/>
      <c r="DFT20" s="582"/>
      <c r="DFU20" s="582"/>
      <c r="DFV20" s="582"/>
      <c r="DFW20" s="582"/>
      <c r="DFX20" s="582"/>
      <c r="DFY20" s="582"/>
      <c r="DFZ20" s="582"/>
      <c r="DGA20" s="582"/>
      <c r="DGB20" s="582"/>
      <c r="DGC20" s="582"/>
      <c r="DGD20" s="582"/>
      <c r="DGE20" s="582"/>
      <c r="DGF20" s="582"/>
      <c r="DGG20" s="582"/>
      <c r="DGH20" s="582"/>
      <c r="DGI20" s="582"/>
      <c r="DGJ20" s="582"/>
      <c r="DGK20" s="582"/>
      <c r="DGL20" s="582"/>
      <c r="DGM20" s="582"/>
      <c r="DGN20" s="582"/>
      <c r="DGO20" s="582"/>
      <c r="DGP20" s="582"/>
      <c r="DGQ20" s="582"/>
      <c r="DGR20" s="582"/>
      <c r="DGS20" s="582"/>
      <c r="DGT20" s="582"/>
      <c r="DGU20" s="582"/>
      <c r="DGV20" s="582"/>
      <c r="DGW20" s="582"/>
      <c r="DGX20" s="582"/>
      <c r="DGY20" s="582"/>
      <c r="DGZ20" s="582"/>
      <c r="DHA20" s="582"/>
      <c r="DHB20" s="582"/>
      <c r="DHC20" s="582"/>
      <c r="DHD20" s="582"/>
      <c r="DHE20" s="582"/>
      <c r="DHF20" s="582"/>
      <c r="DHG20" s="582"/>
      <c r="DHH20" s="582"/>
      <c r="DHI20" s="582"/>
      <c r="DHJ20" s="582"/>
      <c r="DHK20" s="582"/>
      <c r="DHL20" s="582"/>
      <c r="DHM20" s="582"/>
      <c r="DHN20" s="582"/>
      <c r="DHO20" s="582"/>
      <c r="DHP20" s="582"/>
      <c r="DHQ20" s="582"/>
      <c r="DHR20" s="582"/>
      <c r="DHS20" s="582"/>
      <c r="DHT20" s="582"/>
      <c r="DHU20" s="582"/>
      <c r="DHV20" s="582"/>
      <c r="DHW20" s="582"/>
      <c r="DHX20" s="582"/>
      <c r="DHY20" s="582"/>
      <c r="DHZ20" s="582"/>
      <c r="DIA20" s="582"/>
      <c r="DIB20" s="582"/>
      <c r="DIC20" s="582"/>
      <c r="DID20" s="582"/>
      <c r="DIE20" s="582"/>
      <c r="DIF20" s="582"/>
      <c r="DIG20" s="582"/>
      <c r="DIH20" s="582"/>
      <c r="DII20" s="582"/>
      <c r="DIJ20" s="582"/>
      <c r="DIK20" s="582"/>
      <c r="DIL20" s="582"/>
      <c r="DIM20" s="582"/>
      <c r="DIN20" s="582"/>
      <c r="DIO20" s="582"/>
      <c r="DIP20" s="582"/>
      <c r="DIQ20" s="582"/>
      <c r="DIR20" s="582"/>
      <c r="DIS20" s="582"/>
      <c r="DIT20" s="582"/>
      <c r="DIU20" s="582"/>
      <c r="DIV20" s="582"/>
      <c r="DIW20" s="582"/>
      <c r="DIX20" s="582"/>
      <c r="DIY20" s="582"/>
      <c r="DIZ20" s="582"/>
      <c r="DJA20" s="582"/>
      <c r="DJB20" s="582"/>
      <c r="DJC20" s="582"/>
      <c r="DJD20" s="582"/>
      <c r="DJE20" s="582"/>
      <c r="DJF20" s="582"/>
      <c r="DJG20" s="582"/>
      <c r="DJH20" s="582"/>
      <c r="DJI20" s="582"/>
      <c r="DJJ20" s="582"/>
      <c r="DJK20" s="582"/>
      <c r="DJL20" s="582"/>
      <c r="DJM20" s="582"/>
      <c r="DJN20" s="582"/>
      <c r="DJO20" s="582"/>
      <c r="DJP20" s="582"/>
      <c r="DJQ20" s="582"/>
      <c r="DJR20" s="582"/>
      <c r="DJS20" s="582"/>
      <c r="DJT20" s="582"/>
      <c r="DJU20" s="582"/>
      <c r="DJV20" s="582"/>
      <c r="DJW20" s="582"/>
      <c r="DJX20" s="582"/>
      <c r="DJY20" s="582"/>
      <c r="DJZ20" s="582"/>
      <c r="DKA20" s="582"/>
      <c r="DKB20" s="582"/>
      <c r="DKC20" s="582"/>
      <c r="DKD20" s="582"/>
      <c r="DKE20" s="582"/>
      <c r="DKF20" s="582"/>
      <c r="DKG20" s="582"/>
      <c r="DKH20" s="582"/>
      <c r="DKI20" s="582"/>
      <c r="DKJ20" s="582"/>
      <c r="DKK20" s="582"/>
      <c r="DKL20" s="582"/>
      <c r="DKM20" s="582"/>
      <c r="DKN20" s="582"/>
      <c r="DKO20" s="582"/>
      <c r="DKP20" s="582"/>
      <c r="DKQ20" s="582"/>
      <c r="DKR20" s="582"/>
      <c r="DKS20" s="582"/>
      <c r="DKT20" s="582"/>
      <c r="DKU20" s="582"/>
      <c r="DKV20" s="582"/>
      <c r="DKW20" s="582"/>
      <c r="DKX20" s="582"/>
      <c r="DKY20" s="582"/>
      <c r="DKZ20" s="582"/>
      <c r="DLA20" s="582"/>
      <c r="DLB20" s="582"/>
      <c r="DLC20" s="582"/>
      <c r="DLD20" s="582"/>
      <c r="DLE20" s="582"/>
      <c r="DLF20" s="582"/>
      <c r="DLG20" s="582"/>
      <c r="DLH20" s="582"/>
      <c r="DLI20" s="582"/>
      <c r="DLJ20" s="582"/>
      <c r="DLK20" s="582"/>
      <c r="DLL20" s="582"/>
      <c r="DLM20" s="582"/>
      <c r="DLN20" s="582"/>
      <c r="DLO20" s="582"/>
      <c r="DLP20" s="582"/>
      <c r="DLQ20" s="582"/>
      <c r="DLR20" s="582"/>
      <c r="DLS20" s="582"/>
      <c r="DLT20" s="582"/>
      <c r="DLU20" s="582"/>
      <c r="DLV20" s="582"/>
      <c r="DLW20" s="582"/>
      <c r="DLX20" s="582"/>
      <c r="DLY20" s="582"/>
      <c r="DLZ20" s="582"/>
      <c r="DMA20" s="582"/>
      <c r="DMB20" s="582"/>
      <c r="DMC20" s="582"/>
      <c r="DMD20" s="582"/>
      <c r="DME20" s="582"/>
      <c r="DMF20" s="582"/>
      <c r="DMG20" s="582"/>
      <c r="DMH20" s="582"/>
      <c r="DMI20" s="582"/>
      <c r="DMJ20" s="582"/>
      <c r="DMK20" s="582"/>
      <c r="DML20" s="582"/>
      <c r="DMM20" s="582"/>
      <c r="DMN20" s="582"/>
      <c r="DMO20" s="582"/>
      <c r="DMP20" s="582"/>
      <c r="DMQ20" s="582"/>
      <c r="DMR20" s="582"/>
      <c r="DMS20" s="582"/>
      <c r="DMT20" s="582"/>
      <c r="DMU20" s="582"/>
      <c r="DMV20" s="582"/>
      <c r="DMW20" s="582"/>
      <c r="DMX20" s="582"/>
      <c r="DMY20" s="582"/>
      <c r="DMZ20" s="582"/>
      <c r="DNA20" s="582"/>
      <c r="DNB20" s="582"/>
      <c r="DNC20" s="582"/>
      <c r="DND20" s="582"/>
      <c r="DNE20" s="582"/>
      <c r="DNF20" s="582"/>
      <c r="DNG20" s="582"/>
      <c r="DNH20" s="582"/>
      <c r="DNI20" s="582"/>
      <c r="DNJ20" s="582"/>
      <c r="DNK20" s="582"/>
      <c r="DNL20" s="582"/>
      <c r="DNM20" s="582"/>
      <c r="DNN20" s="582"/>
      <c r="DNO20" s="582"/>
      <c r="DNP20" s="582"/>
      <c r="DNQ20" s="582"/>
      <c r="DNR20" s="582"/>
      <c r="DNS20" s="582"/>
      <c r="DNT20" s="582"/>
      <c r="DNU20" s="582"/>
      <c r="DNV20" s="582"/>
      <c r="DNW20" s="582"/>
      <c r="DNX20" s="582"/>
      <c r="DNY20" s="582"/>
      <c r="DNZ20" s="582"/>
      <c r="DOA20" s="582"/>
      <c r="DOB20" s="582"/>
      <c r="DOC20" s="582"/>
      <c r="DOD20" s="582"/>
      <c r="DOE20" s="582"/>
      <c r="DOF20" s="582"/>
      <c r="DOG20" s="582"/>
      <c r="DOH20" s="582"/>
      <c r="DOI20" s="582"/>
      <c r="DOJ20" s="582"/>
      <c r="DOK20" s="582"/>
      <c r="DOL20" s="582"/>
      <c r="DOM20" s="582"/>
      <c r="DON20" s="582"/>
      <c r="DOO20" s="582"/>
      <c r="DOP20" s="582"/>
      <c r="DOQ20" s="582"/>
      <c r="DOR20" s="582"/>
      <c r="DOS20" s="582"/>
      <c r="DOT20" s="582"/>
      <c r="DOU20" s="582"/>
      <c r="DOV20" s="582"/>
      <c r="DOW20" s="582"/>
      <c r="DOX20" s="582"/>
      <c r="DOY20" s="582"/>
      <c r="DOZ20" s="582"/>
      <c r="DPA20" s="582"/>
      <c r="DPB20" s="582"/>
      <c r="DPC20" s="582"/>
      <c r="DPD20" s="582"/>
      <c r="DPE20" s="582"/>
      <c r="DPF20" s="582"/>
      <c r="DPG20" s="582"/>
      <c r="DPH20" s="582"/>
      <c r="DPI20" s="582"/>
      <c r="DPJ20" s="582"/>
      <c r="DPK20" s="582"/>
      <c r="DPL20" s="582"/>
      <c r="DPM20" s="582"/>
      <c r="DPN20" s="582"/>
      <c r="DPO20" s="582"/>
      <c r="DPP20" s="582"/>
      <c r="DPQ20" s="582"/>
      <c r="DPR20" s="582"/>
      <c r="DPS20" s="582"/>
      <c r="DPT20" s="582"/>
      <c r="DPU20" s="582"/>
      <c r="DPV20" s="582"/>
      <c r="DPW20" s="582"/>
      <c r="DPX20" s="582"/>
      <c r="DPY20" s="582"/>
      <c r="DPZ20" s="582"/>
      <c r="DQA20" s="582"/>
      <c r="DQB20" s="582"/>
      <c r="DQC20" s="582"/>
      <c r="DQD20" s="582"/>
      <c r="DQE20" s="582"/>
      <c r="DQF20" s="582"/>
      <c r="DQG20" s="582"/>
      <c r="DQH20" s="582"/>
      <c r="DQI20" s="582"/>
      <c r="DQJ20" s="582"/>
      <c r="DQK20" s="582"/>
      <c r="DQL20" s="582"/>
      <c r="DQM20" s="582"/>
      <c r="DQN20" s="582"/>
      <c r="DQO20" s="582"/>
      <c r="DQP20" s="582"/>
      <c r="DQQ20" s="582"/>
      <c r="DQR20" s="582"/>
      <c r="DQS20" s="582"/>
      <c r="DQT20" s="582"/>
      <c r="DQU20" s="582"/>
      <c r="DQV20" s="582"/>
      <c r="DQW20" s="582"/>
      <c r="DQX20" s="582"/>
      <c r="DQY20" s="582"/>
      <c r="DQZ20" s="582"/>
      <c r="DRA20" s="582"/>
      <c r="DRB20" s="582"/>
      <c r="DRC20" s="582"/>
      <c r="DRD20" s="582"/>
      <c r="DRE20" s="582"/>
      <c r="DRF20" s="582"/>
      <c r="DRG20" s="582"/>
      <c r="DRH20" s="582"/>
      <c r="DRI20" s="582"/>
      <c r="DRJ20" s="582"/>
      <c r="DRK20" s="582"/>
      <c r="DRL20" s="582"/>
      <c r="DRM20" s="582"/>
      <c r="DRN20" s="582"/>
      <c r="DRO20" s="582"/>
      <c r="DRP20" s="582"/>
      <c r="DRQ20" s="582"/>
      <c r="DRR20" s="582"/>
      <c r="DRS20" s="582"/>
      <c r="DRT20" s="582"/>
      <c r="DRU20" s="582"/>
      <c r="DRV20" s="582"/>
      <c r="DRW20" s="582"/>
      <c r="DRX20" s="582"/>
      <c r="DRY20" s="582"/>
      <c r="DRZ20" s="582"/>
      <c r="DSA20" s="582"/>
      <c r="DSB20" s="582"/>
      <c r="DSC20" s="582"/>
      <c r="DSD20" s="582"/>
      <c r="DSE20" s="582"/>
      <c r="DSF20" s="582"/>
      <c r="DSG20" s="582"/>
      <c r="DSH20" s="582"/>
      <c r="DSI20" s="582"/>
      <c r="DSJ20" s="582"/>
      <c r="DSK20" s="582"/>
      <c r="DSL20" s="582"/>
      <c r="DSM20" s="582"/>
      <c r="DSN20" s="582"/>
      <c r="DSO20" s="582"/>
      <c r="DSP20" s="582"/>
      <c r="DSQ20" s="582"/>
      <c r="DSR20" s="582"/>
      <c r="DSS20" s="582"/>
      <c r="DST20" s="582"/>
      <c r="DSU20" s="582"/>
      <c r="DSV20" s="582"/>
      <c r="DSW20" s="582"/>
      <c r="DSX20" s="582"/>
      <c r="DSY20" s="582"/>
      <c r="DSZ20" s="582"/>
      <c r="DTA20" s="582"/>
      <c r="DTB20" s="582"/>
      <c r="DTC20" s="582"/>
      <c r="DTD20" s="582"/>
      <c r="DTE20" s="582"/>
      <c r="DTF20" s="582"/>
      <c r="DTG20" s="582"/>
      <c r="DTH20" s="582"/>
      <c r="DTI20" s="582"/>
      <c r="DTJ20" s="582"/>
      <c r="DTK20" s="582"/>
      <c r="DTL20" s="582"/>
      <c r="DTM20" s="582"/>
      <c r="DTN20" s="582"/>
      <c r="DTO20" s="582"/>
      <c r="DTP20" s="582"/>
      <c r="DTQ20" s="582"/>
      <c r="DTR20" s="582"/>
      <c r="DTS20" s="582"/>
      <c r="DTT20" s="582"/>
      <c r="DTU20" s="582"/>
      <c r="DTV20" s="582"/>
      <c r="DTW20" s="582"/>
      <c r="DTX20" s="582"/>
      <c r="DTY20" s="582"/>
      <c r="DTZ20" s="582"/>
      <c r="DUA20" s="582"/>
      <c r="DUB20" s="582"/>
      <c r="DUC20" s="582"/>
      <c r="DUD20" s="582"/>
      <c r="DUE20" s="582"/>
      <c r="DUF20" s="582"/>
      <c r="DUG20" s="582"/>
      <c r="DUH20" s="582"/>
      <c r="DUI20" s="582"/>
      <c r="DUJ20" s="582"/>
      <c r="DUK20" s="582"/>
      <c r="DUL20" s="582"/>
      <c r="DUM20" s="582"/>
      <c r="DUN20" s="582"/>
      <c r="DUO20" s="582"/>
      <c r="DUP20" s="582"/>
      <c r="DUQ20" s="582"/>
      <c r="DUR20" s="582"/>
      <c r="DUS20" s="582"/>
      <c r="DUT20" s="582"/>
      <c r="DUU20" s="582"/>
      <c r="DUV20" s="582"/>
      <c r="DUW20" s="582"/>
      <c r="DUX20" s="582"/>
      <c r="DUY20" s="582"/>
      <c r="DUZ20" s="582"/>
      <c r="DVA20" s="582"/>
      <c r="DVB20" s="582"/>
      <c r="DVC20" s="582"/>
      <c r="DVD20" s="582"/>
      <c r="DVE20" s="582"/>
      <c r="DVF20" s="582"/>
      <c r="DVG20" s="582"/>
      <c r="DVH20" s="582"/>
      <c r="DVI20" s="582"/>
      <c r="DVJ20" s="582"/>
      <c r="DVK20" s="582"/>
      <c r="DVL20" s="582"/>
      <c r="DVM20" s="582"/>
      <c r="DVN20" s="582"/>
      <c r="DVO20" s="582"/>
      <c r="DVP20" s="582"/>
      <c r="DVQ20" s="582"/>
      <c r="DVR20" s="582"/>
      <c r="DVS20" s="582"/>
      <c r="DVT20" s="582"/>
      <c r="DVU20" s="582"/>
      <c r="DVV20" s="582"/>
      <c r="DVW20" s="582"/>
      <c r="DVX20" s="582"/>
      <c r="DVY20" s="582"/>
      <c r="DVZ20" s="582"/>
      <c r="DWA20" s="582"/>
      <c r="DWB20" s="582"/>
      <c r="DWC20" s="582"/>
      <c r="DWD20" s="582"/>
      <c r="DWE20" s="582"/>
      <c r="DWF20" s="582"/>
      <c r="DWG20" s="582"/>
      <c r="DWH20" s="582"/>
      <c r="DWI20" s="582"/>
      <c r="DWJ20" s="582"/>
      <c r="DWK20" s="582"/>
      <c r="DWL20" s="582"/>
      <c r="DWM20" s="582"/>
      <c r="DWN20" s="582"/>
      <c r="DWO20" s="582"/>
      <c r="DWP20" s="582"/>
      <c r="DWQ20" s="582"/>
      <c r="DWR20" s="582"/>
      <c r="DWS20" s="582"/>
      <c r="DWT20" s="582"/>
      <c r="DWU20" s="582"/>
      <c r="DWV20" s="582"/>
      <c r="DWW20" s="582"/>
      <c r="DWX20" s="582"/>
      <c r="DWY20" s="582"/>
      <c r="DWZ20" s="582"/>
      <c r="DXA20" s="582"/>
      <c r="DXB20" s="582"/>
      <c r="DXC20" s="582"/>
      <c r="DXD20" s="582"/>
      <c r="DXE20" s="582"/>
      <c r="DXF20" s="582"/>
      <c r="DXG20" s="582"/>
      <c r="DXH20" s="582"/>
      <c r="DXI20" s="582"/>
      <c r="DXJ20" s="582"/>
      <c r="DXK20" s="582"/>
      <c r="DXL20" s="582"/>
      <c r="DXM20" s="582"/>
      <c r="DXN20" s="582"/>
      <c r="DXO20" s="582"/>
      <c r="DXP20" s="582"/>
      <c r="DXQ20" s="582"/>
      <c r="DXR20" s="582"/>
      <c r="DXS20" s="582"/>
      <c r="DXT20" s="582"/>
      <c r="DXU20" s="582"/>
      <c r="DXV20" s="582"/>
      <c r="DXW20" s="582"/>
      <c r="DXX20" s="582"/>
      <c r="DXY20" s="582"/>
      <c r="DXZ20" s="582"/>
      <c r="DYA20" s="582"/>
      <c r="DYB20" s="582"/>
      <c r="DYC20" s="582"/>
      <c r="DYD20" s="582"/>
      <c r="DYE20" s="582"/>
      <c r="DYF20" s="582"/>
      <c r="DYG20" s="582"/>
      <c r="DYH20" s="582"/>
      <c r="DYI20" s="582"/>
      <c r="DYJ20" s="582"/>
      <c r="DYK20" s="582"/>
      <c r="DYL20" s="582"/>
      <c r="DYM20" s="582"/>
      <c r="DYN20" s="582"/>
      <c r="DYO20" s="582"/>
      <c r="DYP20" s="582"/>
      <c r="DYQ20" s="582"/>
      <c r="DYR20" s="582"/>
      <c r="DYS20" s="582"/>
      <c r="DYT20" s="582"/>
      <c r="DYU20" s="582"/>
      <c r="DYV20" s="582"/>
      <c r="DYW20" s="582"/>
      <c r="DYX20" s="582"/>
      <c r="DYY20" s="582"/>
      <c r="DYZ20" s="582"/>
      <c r="DZA20" s="582"/>
      <c r="DZB20" s="582"/>
      <c r="DZC20" s="582"/>
      <c r="DZD20" s="582"/>
      <c r="DZE20" s="582"/>
      <c r="DZF20" s="582"/>
      <c r="DZG20" s="582"/>
      <c r="DZH20" s="582"/>
      <c r="DZI20" s="582"/>
      <c r="DZJ20" s="582"/>
      <c r="DZK20" s="582"/>
      <c r="DZL20" s="582"/>
      <c r="DZM20" s="582"/>
      <c r="DZN20" s="582"/>
      <c r="DZO20" s="582"/>
      <c r="DZP20" s="582"/>
      <c r="DZQ20" s="582"/>
      <c r="DZR20" s="582"/>
      <c r="DZS20" s="582"/>
      <c r="DZT20" s="582"/>
      <c r="DZU20" s="582"/>
      <c r="DZV20" s="582"/>
      <c r="DZW20" s="582"/>
      <c r="DZX20" s="582"/>
      <c r="DZY20" s="582"/>
      <c r="DZZ20" s="582"/>
      <c r="EAA20" s="582"/>
      <c r="EAB20" s="582"/>
      <c r="EAC20" s="582"/>
      <c r="EAD20" s="582"/>
      <c r="EAE20" s="582"/>
      <c r="EAF20" s="582"/>
      <c r="EAG20" s="582"/>
      <c r="EAH20" s="582"/>
      <c r="EAI20" s="582"/>
      <c r="EAJ20" s="582"/>
      <c r="EAK20" s="582"/>
      <c r="EAL20" s="582"/>
      <c r="EAM20" s="582"/>
      <c r="EAN20" s="582"/>
      <c r="EAO20" s="582"/>
      <c r="EAP20" s="582"/>
      <c r="EAQ20" s="582"/>
      <c r="EAR20" s="582"/>
      <c r="EAS20" s="582"/>
      <c r="EAT20" s="582"/>
      <c r="EAU20" s="582"/>
      <c r="EAV20" s="582"/>
      <c r="EAW20" s="582"/>
      <c r="EAX20" s="582"/>
      <c r="EAY20" s="582"/>
      <c r="EAZ20" s="582"/>
      <c r="EBA20" s="582"/>
      <c r="EBB20" s="582"/>
      <c r="EBC20" s="582"/>
      <c r="EBD20" s="582"/>
      <c r="EBE20" s="582"/>
      <c r="EBF20" s="582"/>
      <c r="EBG20" s="582"/>
      <c r="EBH20" s="582"/>
      <c r="EBI20" s="582"/>
      <c r="EBJ20" s="582"/>
      <c r="EBK20" s="582"/>
      <c r="EBL20" s="582"/>
      <c r="EBM20" s="582"/>
      <c r="EBN20" s="582"/>
      <c r="EBO20" s="582"/>
      <c r="EBP20" s="582"/>
      <c r="EBQ20" s="582"/>
      <c r="EBR20" s="582"/>
      <c r="EBS20" s="582"/>
      <c r="EBT20" s="582"/>
      <c r="EBU20" s="582"/>
      <c r="EBV20" s="582"/>
      <c r="EBW20" s="582"/>
      <c r="EBX20" s="582"/>
      <c r="EBY20" s="582"/>
      <c r="EBZ20" s="582"/>
      <c r="ECA20" s="582"/>
      <c r="ECB20" s="582"/>
      <c r="ECC20" s="582"/>
      <c r="ECD20" s="582"/>
      <c r="ECE20" s="582"/>
      <c r="ECF20" s="582"/>
      <c r="ECG20" s="582"/>
      <c r="ECH20" s="582"/>
      <c r="ECI20" s="582"/>
      <c r="ECJ20" s="582"/>
      <c r="ECK20" s="582"/>
      <c r="ECL20" s="582"/>
      <c r="ECM20" s="582"/>
      <c r="ECN20" s="582"/>
      <c r="ECO20" s="582"/>
      <c r="ECP20" s="582"/>
      <c r="ECQ20" s="582"/>
      <c r="ECR20" s="582"/>
      <c r="ECS20" s="582"/>
      <c r="ECT20" s="582"/>
      <c r="ECU20" s="582"/>
      <c r="ECV20" s="582"/>
      <c r="ECW20" s="582"/>
      <c r="ECX20" s="582"/>
      <c r="ECY20" s="582"/>
      <c r="ECZ20" s="582"/>
      <c r="EDA20" s="582"/>
      <c r="EDB20" s="582"/>
      <c r="EDC20" s="582"/>
      <c r="EDD20" s="582"/>
      <c r="EDE20" s="582"/>
      <c r="EDF20" s="582"/>
      <c r="EDG20" s="582"/>
      <c r="EDH20" s="582"/>
      <c r="EDI20" s="582"/>
      <c r="EDJ20" s="582"/>
      <c r="EDK20" s="582"/>
      <c r="EDL20" s="582"/>
      <c r="EDM20" s="582"/>
      <c r="EDN20" s="582"/>
      <c r="EDO20" s="582"/>
      <c r="EDP20" s="582"/>
      <c r="EDQ20" s="582"/>
      <c r="EDR20" s="582"/>
      <c r="EDS20" s="582"/>
      <c r="EDT20" s="582"/>
      <c r="EDU20" s="582"/>
      <c r="EDV20" s="582"/>
      <c r="EDW20" s="582"/>
      <c r="EDX20" s="582"/>
      <c r="EDY20" s="582"/>
      <c r="EDZ20" s="582"/>
      <c r="EEA20" s="582"/>
      <c r="EEB20" s="582"/>
      <c r="EEC20" s="582"/>
      <c r="EED20" s="582"/>
      <c r="EEE20" s="582"/>
      <c r="EEF20" s="582"/>
      <c r="EEG20" s="582"/>
      <c r="EEH20" s="582"/>
      <c r="EEI20" s="582"/>
      <c r="EEJ20" s="582"/>
      <c r="EEK20" s="582"/>
      <c r="EEL20" s="582"/>
      <c r="EEM20" s="582"/>
      <c r="EEN20" s="582"/>
      <c r="EEO20" s="582"/>
      <c r="EEP20" s="582"/>
      <c r="EEQ20" s="582"/>
      <c r="EER20" s="582"/>
      <c r="EES20" s="582"/>
      <c r="EET20" s="582"/>
      <c r="EEU20" s="582"/>
      <c r="EEV20" s="582"/>
      <c r="EEW20" s="582"/>
      <c r="EEX20" s="582"/>
      <c r="EEY20" s="582"/>
      <c r="EEZ20" s="582"/>
      <c r="EFA20" s="582"/>
      <c r="EFB20" s="582"/>
      <c r="EFC20" s="582"/>
      <c r="EFD20" s="582"/>
      <c r="EFE20" s="582"/>
      <c r="EFF20" s="582"/>
      <c r="EFG20" s="582"/>
      <c r="EFH20" s="582"/>
      <c r="EFI20" s="582"/>
      <c r="EFJ20" s="582"/>
      <c r="EFK20" s="582"/>
      <c r="EFL20" s="582"/>
      <c r="EFM20" s="582"/>
      <c r="EFN20" s="582"/>
      <c r="EFO20" s="582"/>
      <c r="EFP20" s="582"/>
      <c r="EFQ20" s="582"/>
      <c r="EFR20" s="582"/>
      <c r="EFS20" s="582"/>
      <c r="EFT20" s="582"/>
      <c r="EFU20" s="582"/>
      <c r="EFV20" s="582"/>
      <c r="EFW20" s="582"/>
      <c r="EFX20" s="582"/>
      <c r="EFY20" s="582"/>
      <c r="EFZ20" s="582"/>
      <c r="EGA20" s="582"/>
      <c r="EGB20" s="582"/>
      <c r="EGC20" s="582"/>
      <c r="EGD20" s="582"/>
      <c r="EGE20" s="582"/>
      <c r="EGF20" s="582"/>
      <c r="EGG20" s="582"/>
      <c r="EGH20" s="582"/>
      <c r="EGI20" s="582"/>
      <c r="EGJ20" s="582"/>
      <c r="EGK20" s="582"/>
      <c r="EGL20" s="582"/>
      <c r="EGM20" s="582"/>
      <c r="EGN20" s="582"/>
      <c r="EGO20" s="582"/>
      <c r="EGP20" s="582"/>
      <c r="EGQ20" s="582"/>
      <c r="EGR20" s="582"/>
      <c r="EGS20" s="582"/>
      <c r="EGT20" s="582"/>
      <c r="EGU20" s="582"/>
      <c r="EGV20" s="582"/>
      <c r="EGW20" s="582"/>
      <c r="EGX20" s="582"/>
      <c r="EGY20" s="582"/>
      <c r="EGZ20" s="582"/>
      <c r="EHA20" s="582"/>
      <c r="EHB20" s="582"/>
      <c r="EHC20" s="582"/>
      <c r="EHD20" s="582"/>
      <c r="EHE20" s="582"/>
      <c r="EHF20" s="582"/>
      <c r="EHG20" s="582"/>
      <c r="EHH20" s="582"/>
      <c r="EHI20" s="582"/>
      <c r="EHJ20" s="582"/>
      <c r="EHK20" s="582"/>
      <c r="EHL20" s="582"/>
      <c r="EHM20" s="582"/>
      <c r="EHN20" s="582"/>
      <c r="EHO20" s="582"/>
      <c r="EHP20" s="582"/>
      <c r="EHQ20" s="582"/>
      <c r="EHR20" s="582"/>
      <c r="EHS20" s="582"/>
      <c r="EHT20" s="582"/>
      <c r="EHU20" s="582"/>
      <c r="EHV20" s="582"/>
      <c r="EHW20" s="582"/>
      <c r="EHX20" s="582"/>
      <c r="EHY20" s="582"/>
      <c r="EHZ20" s="582"/>
      <c r="EIA20" s="582"/>
      <c r="EIB20" s="582"/>
      <c r="EIC20" s="582"/>
      <c r="EID20" s="582"/>
      <c r="EIE20" s="582"/>
      <c r="EIF20" s="582"/>
      <c r="EIG20" s="582"/>
      <c r="EIH20" s="582"/>
      <c r="EII20" s="582"/>
      <c r="EIJ20" s="582"/>
      <c r="EIK20" s="582"/>
      <c r="EIL20" s="582"/>
      <c r="EIM20" s="582"/>
      <c r="EIN20" s="582"/>
      <c r="EIO20" s="582"/>
      <c r="EIP20" s="582"/>
      <c r="EIQ20" s="582"/>
      <c r="EIR20" s="582"/>
      <c r="EIS20" s="582"/>
      <c r="EIT20" s="582"/>
      <c r="EIU20" s="582"/>
      <c r="EIV20" s="582"/>
      <c r="EIW20" s="582"/>
      <c r="EIX20" s="582"/>
      <c r="EIY20" s="582"/>
      <c r="EIZ20" s="582"/>
      <c r="EJA20" s="582"/>
      <c r="EJB20" s="582"/>
      <c r="EJC20" s="582"/>
      <c r="EJD20" s="582"/>
      <c r="EJE20" s="582"/>
      <c r="EJF20" s="582"/>
      <c r="EJG20" s="582"/>
      <c r="EJH20" s="582"/>
      <c r="EJI20" s="582"/>
      <c r="EJJ20" s="582"/>
      <c r="EJK20" s="582"/>
      <c r="EJL20" s="582"/>
      <c r="EJM20" s="582"/>
      <c r="EJN20" s="582"/>
      <c r="EJO20" s="582"/>
      <c r="EJP20" s="582"/>
      <c r="EJQ20" s="582"/>
      <c r="EJR20" s="582"/>
      <c r="EJS20" s="582"/>
      <c r="EJT20" s="582"/>
      <c r="EJU20" s="582"/>
      <c r="EJV20" s="582"/>
      <c r="EJW20" s="582"/>
      <c r="EJX20" s="582"/>
      <c r="EJY20" s="582"/>
      <c r="EJZ20" s="582"/>
      <c r="EKA20" s="582"/>
      <c r="EKB20" s="582"/>
      <c r="EKC20" s="582"/>
      <c r="EKD20" s="582"/>
      <c r="EKE20" s="582"/>
      <c r="EKF20" s="582"/>
      <c r="EKG20" s="582"/>
      <c r="EKH20" s="582"/>
      <c r="EKI20" s="582"/>
      <c r="EKJ20" s="582"/>
      <c r="EKK20" s="582"/>
      <c r="EKL20" s="582"/>
      <c r="EKM20" s="582"/>
      <c r="EKN20" s="582"/>
      <c r="EKO20" s="582"/>
      <c r="EKP20" s="582"/>
      <c r="EKQ20" s="582"/>
      <c r="EKR20" s="582"/>
      <c r="EKS20" s="582"/>
      <c r="EKT20" s="582"/>
      <c r="EKU20" s="582"/>
      <c r="EKV20" s="582"/>
      <c r="EKW20" s="582"/>
      <c r="EKX20" s="582"/>
      <c r="EKY20" s="582"/>
      <c r="EKZ20" s="582"/>
      <c r="ELA20" s="582"/>
      <c r="ELB20" s="582"/>
      <c r="ELC20" s="582"/>
      <c r="ELD20" s="582"/>
      <c r="ELE20" s="582"/>
      <c r="ELF20" s="582"/>
      <c r="ELG20" s="582"/>
      <c r="ELH20" s="582"/>
      <c r="ELI20" s="582"/>
      <c r="ELJ20" s="582"/>
      <c r="ELK20" s="582"/>
      <c r="ELL20" s="582"/>
      <c r="ELM20" s="582"/>
      <c r="ELN20" s="582"/>
      <c r="ELO20" s="582"/>
      <c r="ELP20" s="582"/>
      <c r="ELQ20" s="582"/>
      <c r="ELR20" s="582"/>
      <c r="ELS20" s="582"/>
      <c r="ELT20" s="582"/>
      <c r="ELU20" s="582"/>
      <c r="ELV20" s="582"/>
      <c r="ELW20" s="582"/>
      <c r="ELX20" s="582"/>
      <c r="ELY20" s="582"/>
      <c r="ELZ20" s="582"/>
      <c r="EMA20" s="582"/>
      <c r="EMB20" s="582"/>
      <c r="EMC20" s="582"/>
      <c r="EMD20" s="582"/>
      <c r="EME20" s="582"/>
      <c r="EMF20" s="582"/>
      <c r="EMG20" s="582"/>
      <c r="EMH20" s="582"/>
      <c r="EMI20" s="582"/>
      <c r="EMJ20" s="582"/>
      <c r="EMK20" s="582"/>
      <c r="EML20" s="582"/>
      <c r="EMM20" s="582"/>
      <c r="EMN20" s="582"/>
      <c r="EMO20" s="582"/>
      <c r="EMP20" s="582"/>
      <c r="EMQ20" s="582"/>
      <c r="EMR20" s="582"/>
      <c r="EMS20" s="582"/>
      <c r="EMT20" s="582"/>
      <c r="EMU20" s="582"/>
      <c r="EMV20" s="582"/>
      <c r="EMW20" s="582"/>
      <c r="EMX20" s="582"/>
      <c r="EMY20" s="582"/>
      <c r="EMZ20" s="582"/>
      <c r="ENA20" s="582"/>
      <c r="ENB20" s="582"/>
      <c r="ENC20" s="582"/>
      <c r="END20" s="582"/>
      <c r="ENE20" s="582"/>
      <c r="ENF20" s="582"/>
      <c r="ENG20" s="582"/>
      <c r="ENH20" s="582"/>
      <c r="ENI20" s="582"/>
      <c r="ENJ20" s="582"/>
      <c r="ENK20" s="582"/>
      <c r="ENL20" s="582"/>
      <c r="ENM20" s="582"/>
      <c r="ENN20" s="582"/>
      <c r="ENO20" s="582"/>
      <c r="ENP20" s="582"/>
      <c r="ENQ20" s="582"/>
      <c r="ENR20" s="582"/>
      <c r="ENS20" s="582"/>
      <c r="ENT20" s="582"/>
      <c r="ENU20" s="582"/>
      <c r="ENV20" s="582"/>
      <c r="ENW20" s="582"/>
      <c r="ENX20" s="582"/>
      <c r="ENY20" s="582"/>
      <c r="ENZ20" s="582"/>
      <c r="EOA20" s="582"/>
      <c r="EOB20" s="582"/>
      <c r="EOC20" s="582"/>
      <c r="EOD20" s="582"/>
      <c r="EOE20" s="582"/>
      <c r="EOF20" s="582"/>
      <c r="EOG20" s="582"/>
      <c r="EOH20" s="582"/>
      <c r="EOI20" s="582"/>
      <c r="EOJ20" s="582"/>
      <c r="EOK20" s="582"/>
      <c r="EOL20" s="582"/>
      <c r="EOM20" s="582"/>
      <c r="EON20" s="582"/>
      <c r="EOO20" s="582"/>
      <c r="EOP20" s="582"/>
      <c r="EOQ20" s="582"/>
      <c r="EOR20" s="582"/>
      <c r="EOS20" s="582"/>
      <c r="EOT20" s="582"/>
      <c r="EOU20" s="582"/>
      <c r="EOV20" s="582"/>
      <c r="EOW20" s="582"/>
      <c r="EOX20" s="582"/>
      <c r="EOY20" s="582"/>
      <c r="EOZ20" s="582"/>
      <c r="EPA20" s="582"/>
      <c r="EPB20" s="582"/>
      <c r="EPC20" s="582"/>
      <c r="EPD20" s="582"/>
      <c r="EPE20" s="582"/>
      <c r="EPF20" s="582"/>
      <c r="EPG20" s="582"/>
      <c r="EPH20" s="582"/>
      <c r="EPI20" s="582"/>
      <c r="EPJ20" s="582"/>
      <c r="EPK20" s="582"/>
      <c r="EPL20" s="582"/>
      <c r="EPM20" s="582"/>
      <c r="EPN20" s="582"/>
      <c r="EPO20" s="582"/>
      <c r="EPP20" s="582"/>
      <c r="EPQ20" s="582"/>
      <c r="EPR20" s="582"/>
      <c r="EPS20" s="582"/>
      <c r="EPT20" s="582"/>
      <c r="EPU20" s="582"/>
      <c r="EPV20" s="582"/>
      <c r="EPW20" s="582"/>
      <c r="EPX20" s="582"/>
      <c r="EPY20" s="582"/>
      <c r="EPZ20" s="582"/>
      <c r="EQA20" s="582"/>
      <c r="EQB20" s="582"/>
      <c r="EQC20" s="582"/>
      <c r="EQD20" s="582"/>
      <c r="EQE20" s="582"/>
      <c r="EQF20" s="582"/>
      <c r="EQG20" s="582"/>
      <c r="EQH20" s="582"/>
      <c r="EQI20" s="582"/>
      <c r="EQJ20" s="582"/>
      <c r="EQK20" s="582"/>
      <c r="EQL20" s="582"/>
      <c r="EQM20" s="582"/>
      <c r="EQN20" s="582"/>
      <c r="EQO20" s="582"/>
      <c r="EQP20" s="582"/>
      <c r="EQQ20" s="582"/>
      <c r="EQR20" s="582"/>
      <c r="EQS20" s="582"/>
      <c r="EQT20" s="582"/>
      <c r="EQU20" s="582"/>
      <c r="EQV20" s="582"/>
      <c r="EQW20" s="582"/>
      <c r="EQX20" s="582"/>
      <c r="EQY20" s="582"/>
      <c r="EQZ20" s="582"/>
      <c r="ERA20" s="582"/>
      <c r="ERB20" s="582"/>
      <c r="ERC20" s="582"/>
      <c r="ERD20" s="582"/>
      <c r="ERE20" s="582"/>
      <c r="ERF20" s="582"/>
      <c r="ERG20" s="582"/>
      <c r="ERH20" s="582"/>
      <c r="ERI20" s="582"/>
      <c r="ERJ20" s="582"/>
      <c r="ERK20" s="582"/>
      <c r="ERL20" s="582"/>
      <c r="ERM20" s="582"/>
      <c r="ERN20" s="582"/>
      <c r="ERO20" s="582"/>
      <c r="ERP20" s="582"/>
      <c r="ERQ20" s="582"/>
      <c r="ERR20" s="582"/>
      <c r="ERS20" s="582"/>
      <c r="ERT20" s="582"/>
      <c r="ERU20" s="582"/>
      <c r="ERV20" s="582"/>
      <c r="ERW20" s="582"/>
      <c r="ERX20" s="582"/>
      <c r="ERY20" s="582"/>
      <c r="ERZ20" s="582"/>
      <c r="ESA20" s="582"/>
      <c r="ESB20" s="582"/>
      <c r="ESC20" s="582"/>
      <c r="ESD20" s="582"/>
      <c r="ESE20" s="582"/>
      <c r="ESF20" s="582"/>
      <c r="ESG20" s="582"/>
      <c r="ESH20" s="582"/>
      <c r="ESI20" s="582"/>
      <c r="ESJ20" s="582"/>
      <c r="ESK20" s="582"/>
      <c r="ESL20" s="582"/>
      <c r="ESM20" s="582"/>
      <c r="ESN20" s="582"/>
      <c r="ESO20" s="582"/>
      <c r="ESP20" s="582"/>
      <c r="ESQ20" s="582"/>
      <c r="ESR20" s="582"/>
      <c r="ESS20" s="582"/>
      <c r="EST20" s="582"/>
      <c r="ESU20" s="582"/>
      <c r="ESV20" s="582"/>
      <c r="ESW20" s="582"/>
      <c r="ESX20" s="582"/>
      <c r="ESY20" s="582"/>
      <c r="ESZ20" s="582"/>
      <c r="ETA20" s="582"/>
      <c r="ETB20" s="582"/>
      <c r="ETC20" s="582"/>
      <c r="ETD20" s="582"/>
      <c r="ETE20" s="582"/>
      <c r="ETF20" s="582"/>
      <c r="ETG20" s="582"/>
      <c r="ETH20" s="582"/>
      <c r="ETI20" s="582"/>
      <c r="ETJ20" s="582"/>
      <c r="ETK20" s="582"/>
      <c r="ETL20" s="582"/>
      <c r="ETM20" s="582"/>
      <c r="ETN20" s="582"/>
      <c r="ETO20" s="582"/>
      <c r="ETP20" s="582"/>
      <c r="ETQ20" s="582"/>
      <c r="ETR20" s="582"/>
      <c r="ETS20" s="582"/>
      <c r="ETT20" s="582"/>
      <c r="ETU20" s="582"/>
      <c r="ETV20" s="582"/>
      <c r="ETW20" s="582"/>
      <c r="ETX20" s="582"/>
      <c r="ETY20" s="582"/>
      <c r="ETZ20" s="582"/>
      <c r="EUA20" s="582"/>
      <c r="EUB20" s="582"/>
      <c r="EUC20" s="582"/>
      <c r="EUD20" s="582"/>
      <c r="EUE20" s="582"/>
      <c r="EUF20" s="582"/>
      <c r="EUG20" s="582"/>
      <c r="EUH20" s="582"/>
      <c r="EUI20" s="582"/>
      <c r="EUJ20" s="582"/>
      <c r="EUK20" s="582"/>
      <c r="EUL20" s="582"/>
      <c r="EUM20" s="582"/>
      <c r="EUN20" s="582"/>
      <c r="EUO20" s="582"/>
      <c r="EUP20" s="582"/>
      <c r="EUQ20" s="582"/>
      <c r="EUR20" s="582"/>
      <c r="EUS20" s="582"/>
      <c r="EUT20" s="582"/>
      <c r="EUU20" s="582"/>
      <c r="EUV20" s="582"/>
      <c r="EUW20" s="582"/>
      <c r="EUX20" s="582"/>
      <c r="EUY20" s="582"/>
      <c r="EUZ20" s="582"/>
      <c r="EVA20" s="582"/>
      <c r="EVB20" s="582"/>
      <c r="EVC20" s="582"/>
      <c r="EVD20" s="582"/>
      <c r="EVE20" s="582"/>
      <c r="EVF20" s="582"/>
      <c r="EVG20" s="582"/>
      <c r="EVH20" s="582"/>
      <c r="EVI20" s="582"/>
      <c r="EVJ20" s="582"/>
      <c r="EVK20" s="582"/>
      <c r="EVL20" s="582"/>
      <c r="EVM20" s="582"/>
      <c r="EVN20" s="582"/>
      <c r="EVO20" s="582"/>
      <c r="EVP20" s="582"/>
      <c r="EVQ20" s="582"/>
      <c r="EVR20" s="582"/>
      <c r="EVS20" s="582"/>
      <c r="EVT20" s="582"/>
      <c r="EVU20" s="582"/>
      <c r="EVV20" s="582"/>
      <c r="EVW20" s="582"/>
      <c r="EVX20" s="582"/>
      <c r="EVY20" s="582"/>
      <c r="EVZ20" s="582"/>
      <c r="EWA20" s="582"/>
      <c r="EWB20" s="582"/>
      <c r="EWC20" s="582"/>
      <c r="EWD20" s="582"/>
      <c r="EWE20" s="582"/>
      <c r="EWF20" s="582"/>
      <c r="EWG20" s="582"/>
      <c r="EWH20" s="582"/>
      <c r="EWI20" s="582"/>
      <c r="EWJ20" s="582"/>
      <c r="EWK20" s="582"/>
      <c r="EWL20" s="582"/>
      <c r="EWM20" s="582"/>
      <c r="EWN20" s="582"/>
      <c r="EWO20" s="582"/>
      <c r="EWP20" s="582"/>
      <c r="EWQ20" s="582"/>
      <c r="EWR20" s="582"/>
      <c r="EWS20" s="582"/>
      <c r="EWT20" s="582"/>
      <c r="EWU20" s="582"/>
      <c r="EWV20" s="582"/>
      <c r="EWW20" s="582"/>
      <c r="EWX20" s="582"/>
      <c r="EWY20" s="582"/>
      <c r="EWZ20" s="582"/>
      <c r="EXA20" s="582"/>
      <c r="EXB20" s="582"/>
      <c r="EXC20" s="582"/>
      <c r="EXD20" s="582"/>
      <c r="EXE20" s="582"/>
      <c r="EXF20" s="582"/>
      <c r="EXG20" s="582"/>
      <c r="EXH20" s="582"/>
      <c r="EXI20" s="582"/>
      <c r="EXJ20" s="582"/>
      <c r="EXK20" s="582"/>
      <c r="EXL20" s="582"/>
      <c r="EXM20" s="582"/>
      <c r="EXN20" s="582"/>
      <c r="EXO20" s="582"/>
      <c r="EXP20" s="582"/>
      <c r="EXQ20" s="582"/>
      <c r="EXR20" s="582"/>
      <c r="EXS20" s="582"/>
      <c r="EXT20" s="582"/>
      <c r="EXU20" s="582"/>
      <c r="EXV20" s="582"/>
      <c r="EXW20" s="582"/>
      <c r="EXX20" s="582"/>
      <c r="EXY20" s="582"/>
      <c r="EXZ20" s="582"/>
      <c r="EYA20" s="582"/>
      <c r="EYB20" s="582"/>
      <c r="EYC20" s="582"/>
      <c r="EYD20" s="582"/>
      <c r="EYE20" s="582"/>
      <c r="EYF20" s="582"/>
      <c r="EYG20" s="582"/>
      <c r="EYH20" s="582"/>
      <c r="EYI20" s="582"/>
      <c r="EYJ20" s="582"/>
      <c r="EYK20" s="582"/>
      <c r="EYL20" s="582"/>
      <c r="EYM20" s="582"/>
      <c r="EYN20" s="582"/>
      <c r="EYO20" s="582"/>
      <c r="EYP20" s="582"/>
      <c r="EYQ20" s="582"/>
      <c r="EYR20" s="582"/>
      <c r="EYS20" s="582"/>
      <c r="EYT20" s="582"/>
      <c r="EYU20" s="582"/>
      <c r="EYV20" s="582"/>
      <c r="EYW20" s="582"/>
      <c r="EYX20" s="582"/>
      <c r="EYY20" s="582"/>
      <c r="EYZ20" s="582"/>
      <c r="EZA20" s="582"/>
      <c r="EZB20" s="582"/>
      <c r="EZC20" s="582"/>
      <c r="EZD20" s="582"/>
      <c r="EZE20" s="582"/>
      <c r="EZF20" s="582"/>
      <c r="EZG20" s="582"/>
      <c r="EZH20" s="582"/>
      <c r="EZI20" s="582"/>
      <c r="EZJ20" s="582"/>
      <c r="EZK20" s="582"/>
      <c r="EZL20" s="582"/>
      <c r="EZM20" s="582"/>
      <c r="EZN20" s="582"/>
      <c r="EZO20" s="582"/>
      <c r="EZP20" s="582"/>
      <c r="EZQ20" s="582"/>
      <c r="EZR20" s="582"/>
      <c r="EZS20" s="582"/>
      <c r="EZT20" s="582"/>
      <c r="EZU20" s="582"/>
      <c r="EZV20" s="582"/>
      <c r="EZW20" s="582"/>
      <c r="EZX20" s="582"/>
      <c r="EZY20" s="582"/>
      <c r="EZZ20" s="582"/>
      <c r="FAA20" s="582"/>
      <c r="FAB20" s="582"/>
      <c r="FAC20" s="582"/>
      <c r="FAD20" s="582"/>
      <c r="FAE20" s="582"/>
      <c r="FAF20" s="582"/>
      <c r="FAG20" s="582"/>
      <c r="FAH20" s="582"/>
      <c r="FAI20" s="582"/>
      <c r="FAJ20" s="582"/>
      <c r="FAK20" s="582"/>
      <c r="FAL20" s="582"/>
      <c r="FAM20" s="582"/>
      <c r="FAN20" s="582"/>
      <c r="FAO20" s="582"/>
      <c r="FAP20" s="582"/>
      <c r="FAQ20" s="582"/>
      <c r="FAR20" s="582"/>
      <c r="FAS20" s="582"/>
      <c r="FAT20" s="582"/>
      <c r="FAU20" s="582"/>
      <c r="FAV20" s="582"/>
      <c r="FAW20" s="582"/>
      <c r="FAX20" s="582"/>
      <c r="FAY20" s="582"/>
      <c r="FAZ20" s="582"/>
      <c r="FBA20" s="582"/>
      <c r="FBB20" s="582"/>
      <c r="FBC20" s="582"/>
      <c r="FBD20" s="582"/>
      <c r="FBE20" s="582"/>
      <c r="FBF20" s="582"/>
      <c r="FBG20" s="582"/>
      <c r="FBH20" s="582"/>
      <c r="FBI20" s="582"/>
      <c r="FBJ20" s="582"/>
      <c r="FBK20" s="582"/>
      <c r="FBL20" s="582"/>
      <c r="FBM20" s="582"/>
      <c r="FBN20" s="582"/>
      <c r="FBO20" s="582"/>
      <c r="FBP20" s="582"/>
      <c r="FBQ20" s="582"/>
      <c r="FBR20" s="582"/>
      <c r="FBS20" s="582"/>
      <c r="FBT20" s="582"/>
      <c r="FBU20" s="582"/>
      <c r="FBV20" s="582"/>
      <c r="FBW20" s="582"/>
      <c r="FBX20" s="582"/>
      <c r="FBY20" s="582"/>
      <c r="FBZ20" s="582"/>
      <c r="FCA20" s="582"/>
      <c r="FCB20" s="582"/>
      <c r="FCC20" s="582"/>
      <c r="FCD20" s="582"/>
      <c r="FCE20" s="582"/>
      <c r="FCF20" s="582"/>
      <c r="FCG20" s="582"/>
      <c r="FCH20" s="582"/>
      <c r="FCI20" s="582"/>
      <c r="FCJ20" s="582"/>
      <c r="FCK20" s="582"/>
      <c r="FCL20" s="582"/>
      <c r="FCM20" s="582"/>
      <c r="FCN20" s="582"/>
      <c r="FCO20" s="582"/>
      <c r="FCP20" s="582"/>
      <c r="FCQ20" s="582"/>
      <c r="FCR20" s="582"/>
      <c r="FCS20" s="582"/>
      <c r="FCT20" s="582"/>
      <c r="FCU20" s="582"/>
      <c r="FCV20" s="582"/>
      <c r="FCW20" s="582"/>
      <c r="FCX20" s="582"/>
      <c r="FCY20" s="582"/>
      <c r="FCZ20" s="582"/>
      <c r="FDA20" s="582"/>
      <c r="FDB20" s="582"/>
      <c r="FDC20" s="582"/>
      <c r="FDD20" s="582"/>
      <c r="FDE20" s="582"/>
      <c r="FDF20" s="582"/>
      <c r="FDG20" s="582"/>
      <c r="FDH20" s="582"/>
      <c r="FDI20" s="582"/>
      <c r="FDJ20" s="582"/>
      <c r="FDK20" s="582"/>
      <c r="FDL20" s="582"/>
      <c r="FDM20" s="582"/>
      <c r="FDN20" s="582"/>
      <c r="FDO20" s="582"/>
      <c r="FDP20" s="582"/>
      <c r="FDQ20" s="582"/>
      <c r="FDR20" s="582"/>
      <c r="FDS20" s="582"/>
      <c r="FDT20" s="582"/>
      <c r="FDU20" s="582"/>
      <c r="FDV20" s="582"/>
      <c r="FDW20" s="582"/>
      <c r="FDX20" s="582"/>
      <c r="FDY20" s="582"/>
      <c r="FDZ20" s="582"/>
      <c r="FEA20" s="582"/>
      <c r="FEB20" s="582"/>
      <c r="FEC20" s="582"/>
      <c r="FED20" s="582"/>
      <c r="FEE20" s="582"/>
      <c r="FEF20" s="582"/>
      <c r="FEG20" s="582"/>
      <c r="FEH20" s="582"/>
      <c r="FEI20" s="582"/>
      <c r="FEJ20" s="582"/>
      <c r="FEK20" s="582"/>
      <c r="FEL20" s="582"/>
      <c r="FEM20" s="582"/>
      <c r="FEN20" s="582"/>
      <c r="FEO20" s="582"/>
      <c r="FEP20" s="582"/>
      <c r="FEQ20" s="582"/>
      <c r="FER20" s="582"/>
      <c r="FES20" s="582"/>
      <c r="FET20" s="582"/>
      <c r="FEU20" s="582"/>
      <c r="FEV20" s="582"/>
      <c r="FEW20" s="582"/>
      <c r="FEX20" s="582"/>
      <c r="FEY20" s="582"/>
      <c r="FEZ20" s="582"/>
      <c r="FFA20" s="582"/>
      <c r="FFB20" s="582"/>
      <c r="FFC20" s="582"/>
      <c r="FFD20" s="582"/>
      <c r="FFE20" s="582"/>
      <c r="FFF20" s="582"/>
      <c r="FFG20" s="582"/>
      <c r="FFH20" s="582"/>
      <c r="FFI20" s="582"/>
      <c r="FFJ20" s="582"/>
      <c r="FFK20" s="582"/>
      <c r="FFL20" s="582"/>
      <c r="FFM20" s="582"/>
      <c r="FFN20" s="582"/>
      <c r="FFO20" s="582"/>
      <c r="FFP20" s="582"/>
      <c r="FFQ20" s="582"/>
      <c r="FFR20" s="582"/>
      <c r="FFS20" s="582"/>
      <c r="FFT20" s="582"/>
      <c r="FFU20" s="582"/>
      <c r="FFV20" s="582"/>
      <c r="FFW20" s="582"/>
      <c r="FFX20" s="582"/>
      <c r="FFY20" s="582"/>
      <c r="FFZ20" s="582"/>
      <c r="FGA20" s="582"/>
      <c r="FGB20" s="582"/>
      <c r="FGC20" s="582"/>
      <c r="FGD20" s="582"/>
      <c r="FGE20" s="582"/>
      <c r="FGF20" s="582"/>
      <c r="FGG20" s="582"/>
      <c r="FGH20" s="582"/>
      <c r="FGI20" s="582"/>
      <c r="FGJ20" s="582"/>
      <c r="FGK20" s="582"/>
      <c r="FGL20" s="582"/>
      <c r="FGM20" s="582"/>
      <c r="FGN20" s="582"/>
      <c r="FGO20" s="582"/>
      <c r="FGP20" s="582"/>
      <c r="FGQ20" s="582"/>
      <c r="FGR20" s="582"/>
      <c r="FGS20" s="582"/>
      <c r="FGT20" s="582"/>
      <c r="FGU20" s="582"/>
      <c r="FGV20" s="582"/>
      <c r="FGW20" s="582"/>
      <c r="FGX20" s="582"/>
      <c r="FGY20" s="582"/>
      <c r="FGZ20" s="582"/>
      <c r="FHA20" s="582"/>
      <c r="FHB20" s="582"/>
      <c r="FHC20" s="582"/>
      <c r="FHD20" s="582"/>
      <c r="FHE20" s="582"/>
      <c r="FHF20" s="582"/>
      <c r="FHG20" s="582"/>
      <c r="FHH20" s="582"/>
      <c r="FHI20" s="582"/>
      <c r="FHJ20" s="582"/>
      <c r="FHK20" s="582"/>
      <c r="FHL20" s="582"/>
      <c r="FHM20" s="582"/>
      <c r="FHN20" s="582"/>
      <c r="FHO20" s="582"/>
      <c r="FHP20" s="582"/>
      <c r="FHQ20" s="582"/>
      <c r="FHR20" s="582"/>
      <c r="FHS20" s="582"/>
      <c r="FHT20" s="582"/>
      <c r="FHU20" s="582"/>
      <c r="FHV20" s="582"/>
      <c r="FHW20" s="582"/>
      <c r="FHX20" s="582"/>
      <c r="FHY20" s="582"/>
      <c r="FHZ20" s="582"/>
      <c r="FIA20" s="582"/>
      <c r="FIB20" s="582"/>
      <c r="FIC20" s="582"/>
      <c r="FID20" s="582"/>
      <c r="FIE20" s="582"/>
      <c r="FIF20" s="582"/>
      <c r="FIG20" s="582"/>
      <c r="FIH20" s="582"/>
      <c r="FII20" s="582"/>
      <c r="FIJ20" s="582"/>
      <c r="FIK20" s="582"/>
      <c r="FIL20" s="582"/>
      <c r="FIM20" s="582"/>
      <c r="FIN20" s="582"/>
      <c r="FIO20" s="582"/>
      <c r="FIP20" s="582"/>
      <c r="FIQ20" s="582"/>
      <c r="FIR20" s="582"/>
      <c r="FIS20" s="582"/>
      <c r="FIT20" s="582"/>
      <c r="FIU20" s="582"/>
      <c r="FIV20" s="582"/>
      <c r="FIW20" s="582"/>
      <c r="FIX20" s="582"/>
      <c r="FIY20" s="582"/>
      <c r="FIZ20" s="582"/>
      <c r="FJA20" s="582"/>
      <c r="FJB20" s="582"/>
      <c r="FJC20" s="582"/>
      <c r="FJD20" s="582"/>
      <c r="FJE20" s="582"/>
      <c r="FJF20" s="582"/>
      <c r="FJG20" s="582"/>
      <c r="FJH20" s="582"/>
      <c r="FJI20" s="582"/>
      <c r="FJJ20" s="582"/>
      <c r="FJK20" s="582"/>
      <c r="FJL20" s="582"/>
      <c r="FJM20" s="582"/>
      <c r="FJN20" s="582"/>
      <c r="FJO20" s="582"/>
      <c r="FJP20" s="582"/>
      <c r="FJQ20" s="582"/>
      <c r="FJR20" s="582"/>
      <c r="FJS20" s="582"/>
      <c r="FJT20" s="582"/>
      <c r="FJU20" s="582"/>
      <c r="FJV20" s="582"/>
      <c r="FJW20" s="582"/>
      <c r="FJX20" s="582"/>
      <c r="FJY20" s="582"/>
      <c r="FJZ20" s="582"/>
      <c r="FKA20" s="582"/>
      <c r="FKB20" s="582"/>
      <c r="FKC20" s="582"/>
      <c r="FKD20" s="582"/>
      <c r="FKE20" s="582"/>
      <c r="FKF20" s="582"/>
      <c r="FKG20" s="582"/>
      <c r="FKH20" s="582"/>
      <c r="FKI20" s="582"/>
      <c r="FKJ20" s="582"/>
      <c r="FKK20" s="582"/>
      <c r="FKL20" s="582"/>
      <c r="FKM20" s="582"/>
      <c r="FKN20" s="582"/>
      <c r="FKO20" s="582"/>
      <c r="FKP20" s="582"/>
      <c r="FKQ20" s="582"/>
      <c r="FKR20" s="582"/>
      <c r="FKS20" s="582"/>
      <c r="FKT20" s="582"/>
      <c r="FKU20" s="582"/>
      <c r="FKV20" s="582"/>
      <c r="FKW20" s="582"/>
      <c r="FKX20" s="582"/>
      <c r="FKY20" s="582"/>
      <c r="FKZ20" s="582"/>
      <c r="FLA20" s="582"/>
      <c r="FLB20" s="582"/>
      <c r="FLC20" s="582"/>
      <c r="FLD20" s="582"/>
      <c r="FLE20" s="582"/>
      <c r="FLF20" s="582"/>
      <c r="FLG20" s="582"/>
      <c r="FLH20" s="582"/>
      <c r="FLI20" s="582"/>
      <c r="FLJ20" s="582"/>
      <c r="FLK20" s="582"/>
      <c r="FLL20" s="582"/>
      <c r="FLM20" s="582"/>
      <c r="FLN20" s="582"/>
      <c r="FLO20" s="582"/>
      <c r="FLP20" s="582"/>
      <c r="FLQ20" s="582"/>
      <c r="FLR20" s="582"/>
      <c r="FLS20" s="582"/>
      <c r="FLT20" s="582"/>
      <c r="FLU20" s="582"/>
      <c r="FLV20" s="582"/>
      <c r="FLW20" s="582"/>
      <c r="FLX20" s="582"/>
      <c r="FLY20" s="582"/>
      <c r="FLZ20" s="582"/>
      <c r="FMA20" s="582"/>
      <c r="FMB20" s="582"/>
      <c r="FMC20" s="582"/>
      <c r="FMD20" s="582"/>
      <c r="FME20" s="582"/>
      <c r="FMF20" s="582"/>
      <c r="FMG20" s="582"/>
      <c r="FMH20" s="582"/>
      <c r="FMI20" s="582"/>
      <c r="FMJ20" s="582"/>
      <c r="FMK20" s="582"/>
      <c r="FML20" s="582"/>
      <c r="FMM20" s="582"/>
      <c r="FMN20" s="582"/>
      <c r="FMO20" s="582"/>
      <c r="FMP20" s="582"/>
      <c r="FMQ20" s="582"/>
      <c r="FMR20" s="582"/>
      <c r="FMS20" s="582"/>
      <c r="FMT20" s="582"/>
      <c r="FMU20" s="582"/>
      <c r="FMV20" s="582"/>
      <c r="FMW20" s="582"/>
      <c r="FMX20" s="582"/>
      <c r="FMY20" s="582"/>
      <c r="FMZ20" s="582"/>
      <c r="FNA20" s="582"/>
      <c r="FNB20" s="582"/>
      <c r="FNC20" s="582"/>
      <c r="FND20" s="582"/>
      <c r="FNE20" s="582"/>
      <c r="FNF20" s="582"/>
      <c r="FNG20" s="582"/>
      <c r="FNH20" s="582"/>
      <c r="FNI20" s="582"/>
      <c r="FNJ20" s="582"/>
      <c r="FNK20" s="582"/>
      <c r="FNL20" s="582"/>
      <c r="FNM20" s="582"/>
      <c r="FNN20" s="582"/>
      <c r="FNO20" s="582"/>
      <c r="FNP20" s="582"/>
      <c r="FNQ20" s="582"/>
      <c r="FNR20" s="582"/>
      <c r="FNS20" s="582"/>
      <c r="FNT20" s="582"/>
      <c r="FNU20" s="582"/>
      <c r="FNV20" s="582"/>
      <c r="FNW20" s="582"/>
      <c r="FNX20" s="582"/>
      <c r="FNY20" s="582"/>
      <c r="FNZ20" s="582"/>
      <c r="FOA20" s="582"/>
      <c r="FOB20" s="582"/>
      <c r="FOC20" s="582"/>
      <c r="FOD20" s="582"/>
      <c r="FOE20" s="582"/>
      <c r="FOF20" s="582"/>
      <c r="FOG20" s="582"/>
      <c r="FOH20" s="582"/>
      <c r="FOI20" s="582"/>
      <c r="FOJ20" s="582"/>
      <c r="FOK20" s="582"/>
      <c r="FOL20" s="582"/>
      <c r="FOM20" s="582"/>
      <c r="FON20" s="582"/>
      <c r="FOO20" s="582"/>
      <c r="FOP20" s="582"/>
      <c r="FOQ20" s="582"/>
      <c r="FOR20" s="582"/>
      <c r="FOS20" s="582"/>
      <c r="FOT20" s="582"/>
      <c r="FOU20" s="582"/>
      <c r="FOV20" s="582"/>
      <c r="FOW20" s="582"/>
      <c r="FOX20" s="582"/>
      <c r="FOY20" s="582"/>
      <c r="FOZ20" s="582"/>
      <c r="FPA20" s="582"/>
      <c r="FPB20" s="582"/>
      <c r="FPC20" s="582"/>
      <c r="FPD20" s="582"/>
      <c r="FPE20" s="582"/>
      <c r="FPF20" s="582"/>
      <c r="FPG20" s="582"/>
      <c r="FPH20" s="582"/>
      <c r="FPI20" s="582"/>
      <c r="FPJ20" s="582"/>
      <c r="FPK20" s="582"/>
      <c r="FPL20" s="582"/>
      <c r="FPM20" s="582"/>
      <c r="FPN20" s="582"/>
      <c r="FPO20" s="582"/>
      <c r="FPP20" s="582"/>
      <c r="FPQ20" s="582"/>
      <c r="FPR20" s="582"/>
      <c r="FPS20" s="582"/>
      <c r="FPT20" s="582"/>
      <c r="FPU20" s="582"/>
      <c r="FPV20" s="582"/>
      <c r="FPW20" s="582"/>
      <c r="FPX20" s="582"/>
      <c r="FPY20" s="582"/>
      <c r="FPZ20" s="582"/>
      <c r="FQA20" s="582"/>
      <c r="FQB20" s="582"/>
      <c r="FQC20" s="582"/>
      <c r="FQD20" s="582"/>
      <c r="FQE20" s="582"/>
      <c r="FQF20" s="582"/>
      <c r="FQG20" s="582"/>
      <c r="FQH20" s="582"/>
      <c r="FQI20" s="582"/>
      <c r="FQJ20" s="582"/>
      <c r="FQK20" s="582"/>
      <c r="FQL20" s="582"/>
      <c r="FQM20" s="582"/>
      <c r="FQN20" s="582"/>
      <c r="FQO20" s="582"/>
      <c r="FQP20" s="582"/>
      <c r="FQQ20" s="582"/>
      <c r="FQR20" s="582"/>
      <c r="FQS20" s="582"/>
      <c r="FQT20" s="582"/>
      <c r="FQU20" s="582"/>
      <c r="FQV20" s="582"/>
      <c r="FQW20" s="582"/>
      <c r="FQX20" s="582"/>
      <c r="FQY20" s="582"/>
      <c r="FQZ20" s="582"/>
      <c r="FRA20" s="582"/>
      <c r="FRB20" s="582"/>
      <c r="FRC20" s="582"/>
      <c r="FRD20" s="582"/>
      <c r="FRE20" s="582"/>
      <c r="FRF20" s="582"/>
      <c r="FRG20" s="582"/>
      <c r="FRH20" s="582"/>
      <c r="FRI20" s="582"/>
      <c r="FRJ20" s="582"/>
      <c r="FRK20" s="582"/>
      <c r="FRL20" s="582"/>
      <c r="FRM20" s="582"/>
      <c r="FRN20" s="582"/>
      <c r="FRO20" s="582"/>
      <c r="FRP20" s="582"/>
      <c r="FRQ20" s="582"/>
      <c r="FRR20" s="582"/>
      <c r="FRS20" s="582"/>
      <c r="FRT20" s="582"/>
      <c r="FRU20" s="582"/>
      <c r="FRV20" s="582"/>
      <c r="FRW20" s="582"/>
      <c r="FRX20" s="582"/>
      <c r="FRY20" s="582"/>
      <c r="FRZ20" s="582"/>
      <c r="FSA20" s="582"/>
      <c r="FSB20" s="582"/>
      <c r="FSC20" s="582"/>
      <c r="FSD20" s="582"/>
      <c r="FSE20" s="582"/>
      <c r="FSF20" s="582"/>
      <c r="FSG20" s="582"/>
      <c r="FSH20" s="582"/>
      <c r="FSI20" s="582"/>
      <c r="FSJ20" s="582"/>
      <c r="FSK20" s="582"/>
      <c r="FSL20" s="582"/>
      <c r="FSM20" s="582"/>
      <c r="FSN20" s="582"/>
      <c r="FSO20" s="582"/>
      <c r="FSP20" s="582"/>
      <c r="FSQ20" s="582"/>
      <c r="FSR20" s="582"/>
      <c r="FSS20" s="582"/>
      <c r="FST20" s="582"/>
      <c r="FSU20" s="582"/>
      <c r="FSV20" s="582"/>
      <c r="FSW20" s="582"/>
      <c r="FSX20" s="582"/>
      <c r="FSY20" s="582"/>
      <c r="FSZ20" s="582"/>
      <c r="FTA20" s="582"/>
      <c r="FTB20" s="582"/>
      <c r="FTC20" s="582"/>
      <c r="FTD20" s="582"/>
      <c r="FTE20" s="582"/>
      <c r="FTF20" s="582"/>
      <c r="FTG20" s="582"/>
      <c r="FTH20" s="582"/>
      <c r="FTI20" s="582"/>
      <c r="FTJ20" s="582"/>
      <c r="FTK20" s="582"/>
      <c r="FTL20" s="582"/>
      <c r="FTM20" s="582"/>
      <c r="FTN20" s="582"/>
      <c r="FTO20" s="582"/>
      <c r="FTP20" s="582"/>
      <c r="FTQ20" s="582"/>
      <c r="FTR20" s="582"/>
      <c r="FTS20" s="582"/>
      <c r="FTT20" s="582"/>
      <c r="FTU20" s="582"/>
      <c r="FTV20" s="582"/>
      <c r="FTW20" s="582"/>
      <c r="FTX20" s="582"/>
      <c r="FTY20" s="582"/>
      <c r="FTZ20" s="582"/>
      <c r="FUA20" s="582"/>
      <c r="FUB20" s="582"/>
      <c r="FUC20" s="582"/>
      <c r="FUD20" s="582"/>
      <c r="FUE20" s="582"/>
      <c r="FUF20" s="582"/>
      <c r="FUG20" s="582"/>
      <c r="FUH20" s="582"/>
      <c r="FUI20" s="582"/>
      <c r="FUJ20" s="582"/>
      <c r="FUK20" s="582"/>
      <c r="FUL20" s="582"/>
      <c r="FUM20" s="582"/>
      <c r="FUN20" s="582"/>
      <c r="FUO20" s="582"/>
      <c r="FUP20" s="582"/>
      <c r="FUQ20" s="582"/>
      <c r="FUR20" s="582"/>
      <c r="FUS20" s="582"/>
      <c r="FUT20" s="582"/>
      <c r="FUU20" s="582"/>
      <c r="FUV20" s="582"/>
      <c r="FUW20" s="582"/>
      <c r="FUX20" s="582"/>
      <c r="FUY20" s="582"/>
      <c r="FUZ20" s="582"/>
      <c r="FVA20" s="582"/>
      <c r="FVB20" s="582"/>
      <c r="FVC20" s="582"/>
      <c r="FVD20" s="582"/>
      <c r="FVE20" s="582"/>
      <c r="FVF20" s="582"/>
      <c r="FVG20" s="582"/>
      <c r="FVH20" s="582"/>
      <c r="FVI20" s="582"/>
      <c r="FVJ20" s="582"/>
      <c r="FVK20" s="582"/>
      <c r="FVL20" s="582"/>
      <c r="FVM20" s="582"/>
      <c r="FVN20" s="582"/>
      <c r="FVO20" s="582"/>
      <c r="FVP20" s="582"/>
      <c r="FVQ20" s="582"/>
      <c r="FVR20" s="582"/>
      <c r="FVS20" s="582"/>
      <c r="FVT20" s="582"/>
      <c r="FVU20" s="582"/>
      <c r="FVV20" s="582"/>
      <c r="FVW20" s="582"/>
      <c r="FVX20" s="582"/>
      <c r="FVY20" s="582"/>
      <c r="FVZ20" s="582"/>
      <c r="FWA20" s="582"/>
      <c r="FWB20" s="582"/>
      <c r="FWC20" s="582"/>
      <c r="FWD20" s="582"/>
      <c r="FWE20" s="582"/>
      <c r="FWF20" s="582"/>
      <c r="FWG20" s="582"/>
      <c r="FWH20" s="582"/>
      <c r="FWI20" s="582"/>
      <c r="FWJ20" s="582"/>
      <c r="FWK20" s="582"/>
      <c r="FWL20" s="582"/>
      <c r="FWM20" s="582"/>
      <c r="FWN20" s="582"/>
      <c r="FWO20" s="582"/>
      <c r="FWP20" s="582"/>
      <c r="FWQ20" s="582"/>
      <c r="FWR20" s="582"/>
      <c r="FWS20" s="582"/>
      <c r="FWT20" s="582"/>
      <c r="FWU20" s="582"/>
      <c r="FWV20" s="582"/>
      <c r="FWW20" s="582"/>
      <c r="FWX20" s="582"/>
      <c r="FWY20" s="582"/>
      <c r="FWZ20" s="582"/>
      <c r="FXA20" s="582"/>
      <c r="FXB20" s="582"/>
      <c r="FXC20" s="582"/>
      <c r="FXD20" s="582"/>
      <c r="FXE20" s="582"/>
      <c r="FXF20" s="582"/>
      <c r="FXG20" s="582"/>
      <c r="FXH20" s="582"/>
      <c r="FXI20" s="582"/>
      <c r="FXJ20" s="582"/>
      <c r="FXK20" s="582"/>
      <c r="FXL20" s="582"/>
      <c r="FXM20" s="582"/>
      <c r="FXN20" s="582"/>
      <c r="FXO20" s="582"/>
      <c r="FXP20" s="582"/>
      <c r="FXQ20" s="582"/>
      <c r="FXR20" s="582"/>
      <c r="FXS20" s="582"/>
      <c r="FXT20" s="582"/>
      <c r="FXU20" s="582"/>
      <c r="FXV20" s="582"/>
      <c r="FXW20" s="582"/>
      <c r="FXX20" s="582"/>
      <c r="FXY20" s="582"/>
      <c r="FXZ20" s="582"/>
      <c r="FYA20" s="582"/>
      <c r="FYB20" s="582"/>
      <c r="FYC20" s="582"/>
      <c r="FYD20" s="582"/>
      <c r="FYE20" s="582"/>
      <c r="FYF20" s="582"/>
      <c r="FYG20" s="582"/>
      <c r="FYH20" s="582"/>
      <c r="FYI20" s="582"/>
      <c r="FYJ20" s="582"/>
      <c r="FYK20" s="582"/>
      <c r="FYL20" s="582"/>
      <c r="FYM20" s="582"/>
      <c r="FYN20" s="582"/>
      <c r="FYO20" s="582"/>
      <c r="FYP20" s="582"/>
      <c r="FYQ20" s="582"/>
      <c r="FYR20" s="582"/>
      <c r="FYS20" s="582"/>
      <c r="FYT20" s="582"/>
      <c r="FYU20" s="582"/>
      <c r="FYV20" s="582"/>
      <c r="FYW20" s="582"/>
      <c r="FYX20" s="582"/>
      <c r="FYY20" s="582"/>
      <c r="FYZ20" s="582"/>
      <c r="FZA20" s="582"/>
      <c r="FZB20" s="582"/>
      <c r="FZC20" s="582"/>
      <c r="FZD20" s="582"/>
      <c r="FZE20" s="582"/>
      <c r="FZF20" s="582"/>
      <c r="FZG20" s="582"/>
      <c r="FZH20" s="582"/>
      <c r="FZI20" s="582"/>
      <c r="FZJ20" s="582"/>
      <c r="FZK20" s="582"/>
      <c r="FZL20" s="582"/>
      <c r="FZM20" s="582"/>
      <c r="FZN20" s="582"/>
      <c r="FZO20" s="582"/>
      <c r="FZP20" s="582"/>
      <c r="FZQ20" s="582"/>
      <c r="FZR20" s="582"/>
      <c r="FZS20" s="582"/>
      <c r="FZT20" s="582"/>
      <c r="FZU20" s="582"/>
      <c r="FZV20" s="582"/>
      <c r="FZW20" s="582"/>
      <c r="FZX20" s="582"/>
      <c r="FZY20" s="582"/>
      <c r="FZZ20" s="582"/>
      <c r="GAA20" s="582"/>
      <c r="GAB20" s="582"/>
      <c r="GAC20" s="582"/>
      <c r="GAD20" s="582"/>
      <c r="GAE20" s="582"/>
      <c r="GAF20" s="582"/>
      <c r="GAG20" s="582"/>
      <c r="GAH20" s="582"/>
      <c r="GAI20" s="582"/>
      <c r="GAJ20" s="582"/>
      <c r="GAK20" s="582"/>
      <c r="GAL20" s="582"/>
      <c r="GAM20" s="582"/>
      <c r="GAN20" s="582"/>
      <c r="GAO20" s="582"/>
      <c r="GAP20" s="582"/>
      <c r="GAQ20" s="582"/>
      <c r="GAR20" s="582"/>
      <c r="GAS20" s="582"/>
      <c r="GAT20" s="582"/>
      <c r="GAU20" s="582"/>
      <c r="GAV20" s="582"/>
      <c r="GAW20" s="582"/>
      <c r="GAX20" s="582"/>
      <c r="GAY20" s="582"/>
      <c r="GAZ20" s="582"/>
      <c r="GBA20" s="582"/>
      <c r="GBB20" s="582"/>
      <c r="GBC20" s="582"/>
      <c r="GBD20" s="582"/>
      <c r="GBE20" s="582"/>
      <c r="GBF20" s="582"/>
      <c r="GBG20" s="582"/>
      <c r="GBH20" s="582"/>
      <c r="GBI20" s="582"/>
      <c r="GBJ20" s="582"/>
      <c r="GBK20" s="582"/>
      <c r="GBL20" s="582"/>
      <c r="GBM20" s="582"/>
      <c r="GBN20" s="582"/>
      <c r="GBO20" s="582"/>
      <c r="GBP20" s="582"/>
      <c r="GBQ20" s="582"/>
      <c r="GBR20" s="582"/>
      <c r="GBS20" s="582"/>
      <c r="GBT20" s="582"/>
      <c r="GBU20" s="582"/>
      <c r="GBV20" s="582"/>
      <c r="GBW20" s="582"/>
      <c r="GBX20" s="582"/>
      <c r="GBY20" s="582"/>
      <c r="GBZ20" s="582"/>
      <c r="GCA20" s="582"/>
      <c r="GCB20" s="582"/>
      <c r="GCC20" s="582"/>
      <c r="GCD20" s="582"/>
      <c r="GCE20" s="582"/>
      <c r="GCF20" s="582"/>
      <c r="GCG20" s="582"/>
      <c r="GCH20" s="582"/>
      <c r="GCI20" s="582"/>
      <c r="GCJ20" s="582"/>
      <c r="GCK20" s="582"/>
      <c r="GCL20" s="582"/>
      <c r="GCM20" s="582"/>
      <c r="GCN20" s="582"/>
      <c r="GCO20" s="582"/>
      <c r="GCP20" s="582"/>
      <c r="GCQ20" s="582"/>
      <c r="GCR20" s="582"/>
      <c r="GCS20" s="582"/>
      <c r="GCT20" s="582"/>
      <c r="GCU20" s="582"/>
      <c r="GCV20" s="582"/>
      <c r="GCW20" s="582"/>
      <c r="GCX20" s="582"/>
      <c r="GCY20" s="582"/>
      <c r="GCZ20" s="582"/>
      <c r="GDA20" s="582"/>
      <c r="GDB20" s="582"/>
      <c r="GDC20" s="582"/>
      <c r="GDD20" s="582"/>
      <c r="GDE20" s="582"/>
      <c r="GDF20" s="582"/>
      <c r="GDG20" s="582"/>
      <c r="GDH20" s="582"/>
      <c r="GDI20" s="582"/>
      <c r="GDJ20" s="582"/>
      <c r="GDK20" s="582"/>
      <c r="GDL20" s="582"/>
      <c r="GDM20" s="582"/>
      <c r="GDN20" s="582"/>
      <c r="GDO20" s="582"/>
      <c r="GDP20" s="582"/>
      <c r="GDQ20" s="582"/>
      <c r="GDR20" s="582"/>
      <c r="GDS20" s="582"/>
      <c r="GDT20" s="582"/>
      <c r="GDU20" s="582"/>
      <c r="GDV20" s="582"/>
      <c r="GDW20" s="582"/>
      <c r="GDX20" s="582"/>
      <c r="GDY20" s="582"/>
      <c r="GDZ20" s="582"/>
      <c r="GEA20" s="582"/>
      <c r="GEB20" s="582"/>
      <c r="GEC20" s="582"/>
      <c r="GED20" s="582"/>
      <c r="GEE20" s="582"/>
      <c r="GEF20" s="582"/>
      <c r="GEG20" s="582"/>
      <c r="GEH20" s="582"/>
      <c r="GEI20" s="582"/>
      <c r="GEJ20" s="582"/>
      <c r="GEK20" s="582"/>
      <c r="GEL20" s="582"/>
      <c r="GEM20" s="582"/>
      <c r="GEN20" s="582"/>
      <c r="GEO20" s="582"/>
      <c r="GEP20" s="582"/>
      <c r="GEQ20" s="582"/>
      <c r="GER20" s="582"/>
      <c r="GES20" s="582"/>
      <c r="GET20" s="582"/>
      <c r="GEU20" s="582"/>
      <c r="GEV20" s="582"/>
      <c r="GEW20" s="582"/>
      <c r="GEX20" s="582"/>
      <c r="GEY20" s="582"/>
      <c r="GEZ20" s="582"/>
      <c r="GFA20" s="582"/>
      <c r="GFB20" s="582"/>
      <c r="GFC20" s="582"/>
      <c r="GFD20" s="582"/>
      <c r="GFE20" s="582"/>
      <c r="GFF20" s="582"/>
      <c r="GFG20" s="582"/>
      <c r="GFH20" s="582"/>
      <c r="GFI20" s="582"/>
      <c r="GFJ20" s="582"/>
      <c r="GFK20" s="582"/>
      <c r="GFL20" s="582"/>
      <c r="GFM20" s="582"/>
      <c r="GFN20" s="582"/>
      <c r="GFO20" s="582"/>
      <c r="GFP20" s="582"/>
      <c r="GFQ20" s="582"/>
      <c r="GFR20" s="582"/>
      <c r="GFS20" s="582"/>
      <c r="GFT20" s="582"/>
      <c r="GFU20" s="582"/>
      <c r="GFV20" s="582"/>
      <c r="GFW20" s="582"/>
      <c r="GFX20" s="582"/>
      <c r="GFY20" s="582"/>
      <c r="GFZ20" s="582"/>
      <c r="GGA20" s="582"/>
      <c r="GGB20" s="582"/>
      <c r="GGC20" s="582"/>
      <c r="GGD20" s="582"/>
      <c r="GGE20" s="582"/>
      <c r="GGF20" s="582"/>
      <c r="GGG20" s="582"/>
      <c r="GGH20" s="582"/>
      <c r="GGI20" s="582"/>
      <c r="GGJ20" s="582"/>
      <c r="GGK20" s="582"/>
      <c r="GGL20" s="582"/>
      <c r="GGM20" s="582"/>
      <c r="GGN20" s="582"/>
      <c r="GGO20" s="582"/>
      <c r="GGP20" s="582"/>
      <c r="GGQ20" s="582"/>
      <c r="GGR20" s="582"/>
      <c r="GGS20" s="582"/>
      <c r="GGT20" s="582"/>
      <c r="GGU20" s="582"/>
      <c r="GGV20" s="582"/>
      <c r="GGW20" s="582"/>
      <c r="GGX20" s="582"/>
      <c r="GGY20" s="582"/>
      <c r="GGZ20" s="582"/>
      <c r="GHA20" s="582"/>
      <c r="GHB20" s="582"/>
      <c r="GHC20" s="582"/>
      <c r="GHD20" s="582"/>
      <c r="GHE20" s="582"/>
      <c r="GHF20" s="582"/>
      <c r="GHG20" s="582"/>
      <c r="GHH20" s="582"/>
      <c r="GHI20" s="582"/>
      <c r="GHJ20" s="582"/>
      <c r="GHK20" s="582"/>
      <c r="GHL20" s="582"/>
      <c r="GHM20" s="582"/>
      <c r="GHN20" s="582"/>
      <c r="GHO20" s="582"/>
      <c r="GHP20" s="582"/>
      <c r="GHQ20" s="582"/>
      <c r="GHR20" s="582"/>
      <c r="GHS20" s="582"/>
      <c r="GHT20" s="582"/>
      <c r="GHU20" s="582"/>
      <c r="GHV20" s="582"/>
      <c r="GHW20" s="582"/>
      <c r="GHX20" s="582"/>
      <c r="GHY20" s="582"/>
      <c r="GHZ20" s="582"/>
      <c r="GIA20" s="582"/>
      <c r="GIB20" s="582"/>
      <c r="GIC20" s="582"/>
      <c r="GID20" s="582"/>
      <c r="GIE20" s="582"/>
      <c r="GIF20" s="582"/>
      <c r="GIG20" s="582"/>
      <c r="GIH20" s="582"/>
      <c r="GII20" s="582"/>
      <c r="GIJ20" s="582"/>
      <c r="GIK20" s="582"/>
      <c r="GIL20" s="582"/>
      <c r="GIM20" s="582"/>
      <c r="GIN20" s="582"/>
      <c r="GIO20" s="582"/>
      <c r="GIP20" s="582"/>
      <c r="GIQ20" s="582"/>
      <c r="GIR20" s="582"/>
      <c r="GIS20" s="582"/>
      <c r="GIT20" s="582"/>
      <c r="GIU20" s="582"/>
      <c r="GIV20" s="582"/>
      <c r="GIW20" s="582"/>
      <c r="GIX20" s="582"/>
      <c r="GIY20" s="582"/>
      <c r="GIZ20" s="582"/>
      <c r="GJA20" s="582"/>
      <c r="GJB20" s="582"/>
      <c r="GJC20" s="582"/>
      <c r="GJD20" s="582"/>
      <c r="GJE20" s="582"/>
      <c r="GJF20" s="582"/>
      <c r="GJG20" s="582"/>
      <c r="GJH20" s="582"/>
      <c r="GJI20" s="582"/>
      <c r="GJJ20" s="582"/>
      <c r="GJK20" s="582"/>
      <c r="GJL20" s="582"/>
      <c r="GJM20" s="582"/>
      <c r="GJN20" s="582"/>
      <c r="GJO20" s="582"/>
      <c r="GJP20" s="582"/>
      <c r="GJQ20" s="582"/>
      <c r="GJR20" s="582"/>
      <c r="GJS20" s="582"/>
      <c r="GJT20" s="582"/>
      <c r="GJU20" s="582"/>
      <c r="GJV20" s="582"/>
      <c r="GJW20" s="582"/>
      <c r="GJX20" s="582"/>
      <c r="GJY20" s="582"/>
      <c r="GJZ20" s="582"/>
      <c r="GKA20" s="582"/>
      <c r="GKB20" s="582"/>
      <c r="GKC20" s="582"/>
      <c r="GKD20" s="582"/>
      <c r="GKE20" s="582"/>
      <c r="GKF20" s="582"/>
      <c r="GKG20" s="582"/>
      <c r="GKH20" s="582"/>
      <c r="GKI20" s="582"/>
      <c r="GKJ20" s="582"/>
      <c r="GKK20" s="582"/>
      <c r="GKL20" s="582"/>
      <c r="GKM20" s="582"/>
      <c r="GKN20" s="582"/>
      <c r="GKO20" s="582"/>
      <c r="GKP20" s="582"/>
      <c r="GKQ20" s="582"/>
      <c r="GKR20" s="582"/>
      <c r="GKS20" s="582"/>
      <c r="GKT20" s="582"/>
      <c r="GKU20" s="582"/>
      <c r="GKV20" s="582"/>
      <c r="GKW20" s="582"/>
      <c r="GKX20" s="582"/>
      <c r="GKY20" s="582"/>
      <c r="GKZ20" s="582"/>
      <c r="GLA20" s="582"/>
      <c r="GLB20" s="582"/>
      <c r="GLC20" s="582"/>
      <c r="GLD20" s="582"/>
      <c r="GLE20" s="582"/>
      <c r="GLF20" s="582"/>
      <c r="GLG20" s="582"/>
      <c r="GLH20" s="582"/>
      <c r="GLI20" s="582"/>
      <c r="GLJ20" s="582"/>
      <c r="GLK20" s="582"/>
      <c r="GLL20" s="582"/>
      <c r="GLM20" s="582"/>
      <c r="GLN20" s="582"/>
      <c r="GLO20" s="582"/>
      <c r="GLP20" s="582"/>
      <c r="GLQ20" s="582"/>
      <c r="GLR20" s="582"/>
      <c r="GLS20" s="582"/>
      <c r="GLT20" s="582"/>
      <c r="GLU20" s="582"/>
      <c r="GLV20" s="582"/>
      <c r="GLW20" s="582"/>
      <c r="GLX20" s="582"/>
      <c r="GLY20" s="582"/>
      <c r="GLZ20" s="582"/>
      <c r="GMA20" s="582"/>
      <c r="GMB20" s="582"/>
      <c r="GMC20" s="582"/>
      <c r="GMD20" s="582"/>
      <c r="GME20" s="582"/>
      <c r="GMF20" s="582"/>
      <c r="GMG20" s="582"/>
      <c r="GMH20" s="582"/>
      <c r="GMI20" s="582"/>
      <c r="GMJ20" s="582"/>
      <c r="GMK20" s="582"/>
      <c r="GML20" s="582"/>
      <c r="GMM20" s="582"/>
      <c r="GMN20" s="582"/>
      <c r="GMO20" s="582"/>
      <c r="GMP20" s="582"/>
      <c r="GMQ20" s="582"/>
      <c r="GMR20" s="582"/>
      <c r="GMS20" s="582"/>
      <c r="GMT20" s="582"/>
      <c r="GMU20" s="582"/>
      <c r="GMV20" s="582"/>
      <c r="GMW20" s="582"/>
      <c r="GMX20" s="582"/>
      <c r="GMY20" s="582"/>
      <c r="GMZ20" s="582"/>
      <c r="GNA20" s="582"/>
      <c r="GNB20" s="582"/>
      <c r="GNC20" s="582"/>
      <c r="GND20" s="582"/>
      <c r="GNE20" s="582"/>
      <c r="GNF20" s="582"/>
      <c r="GNG20" s="582"/>
      <c r="GNH20" s="582"/>
      <c r="GNI20" s="582"/>
      <c r="GNJ20" s="582"/>
      <c r="GNK20" s="582"/>
      <c r="GNL20" s="582"/>
      <c r="GNM20" s="582"/>
      <c r="GNN20" s="582"/>
      <c r="GNO20" s="582"/>
      <c r="GNP20" s="582"/>
      <c r="GNQ20" s="582"/>
      <c r="GNR20" s="582"/>
      <c r="GNS20" s="582"/>
      <c r="GNT20" s="582"/>
      <c r="GNU20" s="582"/>
      <c r="GNV20" s="582"/>
      <c r="GNW20" s="582"/>
      <c r="GNX20" s="582"/>
      <c r="GNY20" s="582"/>
      <c r="GNZ20" s="582"/>
      <c r="GOA20" s="582"/>
      <c r="GOB20" s="582"/>
      <c r="GOC20" s="582"/>
      <c r="GOD20" s="582"/>
      <c r="GOE20" s="582"/>
      <c r="GOF20" s="582"/>
      <c r="GOG20" s="582"/>
      <c r="GOH20" s="582"/>
      <c r="GOI20" s="582"/>
      <c r="GOJ20" s="582"/>
      <c r="GOK20" s="582"/>
      <c r="GOL20" s="582"/>
      <c r="GOM20" s="582"/>
      <c r="GON20" s="582"/>
      <c r="GOO20" s="582"/>
      <c r="GOP20" s="582"/>
      <c r="GOQ20" s="582"/>
      <c r="GOR20" s="582"/>
      <c r="GOS20" s="582"/>
      <c r="GOT20" s="582"/>
      <c r="GOU20" s="582"/>
      <c r="GOV20" s="582"/>
      <c r="GOW20" s="582"/>
      <c r="GOX20" s="582"/>
      <c r="GOY20" s="582"/>
      <c r="GOZ20" s="582"/>
      <c r="GPA20" s="582"/>
      <c r="GPB20" s="582"/>
      <c r="GPC20" s="582"/>
      <c r="GPD20" s="582"/>
      <c r="GPE20" s="582"/>
      <c r="GPF20" s="582"/>
      <c r="GPG20" s="582"/>
      <c r="GPH20" s="582"/>
      <c r="GPI20" s="582"/>
      <c r="GPJ20" s="582"/>
      <c r="GPK20" s="582"/>
      <c r="GPL20" s="582"/>
      <c r="GPM20" s="582"/>
      <c r="GPN20" s="582"/>
      <c r="GPO20" s="582"/>
      <c r="GPP20" s="582"/>
      <c r="GPQ20" s="582"/>
      <c r="GPR20" s="582"/>
      <c r="GPS20" s="582"/>
      <c r="GPT20" s="582"/>
      <c r="GPU20" s="582"/>
      <c r="GPV20" s="582"/>
      <c r="GPW20" s="582"/>
      <c r="GPX20" s="582"/>
      <c r="GPY20" s="582"/>
      <c r="GPZ20" s="582"/>
      <c r="GQA20" s="582"/>
      <c r="GQB20" s="582"/>
      <c r="GQC20" s="582"/>
      <c r="GQD20" s="582"/>
      <c r="GQE20" s="582"/>
      <c r="GQF20" s="582"/>
      <c r="GQG20" s="582"/>
      <c r="GQH20" s="582"/>
      <c r="GQI20" s="582"/>
      <c r="GQJ20" s="582"/>
      <c r="GQK20" s="582"/>
      <c r="GQL20" s="582"/>
      <c r="GQM20" s="582"/>
      <c r="GQN20" s="582"/>
      <c r="GQO20" s="582"/>
      <c r="GQP20" s="582"/>
      <c r="GQQ20" s="582"/>
      <c r="GQR20" s="582"/>
      <c r="GQS20" s="582"/>
      <c r="GQT20" s="582"/>
      <c r="GQU20" s="582"/>
      <c r="GQV20" s="582"/>
      <c r="GQW20" s="582"/>
      <c r="GQX20" s="582"/>
      <c r="GQY20" s="582"/>
      <c r="GQZ20" s="582"/>
      <c r="GRA20" s="582"/>
      <c r="GRB20" s="582"/>
      <c r="GRC20" s="582"/>
      <c r="GRD20" s="582"/>
      <c r="GRE20" s="582"/>
      <c r="GRF20" s="582"/>
      <c r="GRG20" s="582"/>
      <c r="GRH20" s="582"/>
      <c r="GRI20" s="582"/>
      <c r="GRJ20" s="582"/>
      <c r="GRK20" s="582"/>
      <c r="GRL20" s="582"/>
      <c r="GRM20" s="582"/>
      <c r="GRN20" s="582"/>
      <c r="GRO20" s="582"/>
      <c r="GRP20" s="582"/>
      <c r="GRQ20" s="582"/>
      <c r="GRR20" s="582"/>
      <c r="GRS20" s="582"/>
      <c r="GRT20" s="582"/>
      <c r="GRU20" s="582"/>
      <c r="GRV20" s="582"/>
      <c r="GRW20" s="582"/>
      <c r="GRX20" s="582"/>
      <c r="GRY20" s="582"/>
      <c r="GRZ20" s="582"/>
      <c r="GSA20" s="582"/>
      <c r="GSB20" s="582"/>
      <c r="GSC20" s="582"/>
      <c r="GSD20" s="582"/>
      <c r="GSE20" s="582"/>
      <c r="GSF20" s="582"/>
      <c r="GSG20" s="582"/>
      <c r="GSH20" s="582"/>
      <c r="GSI20" s="582"/>
      <c r="GSJ20" s="582"/>
      <c r="GSK20" s="582"/>
      <c r="GSL20" s="582"/>
      <c r="GSM20" s="582"/>
      <c r="GSN20" s="582"/>
      <c r="GSO20" s="582"/>
      <c r="GSP20" s="582"/>
      <c r="GSQ20" s="582"/>
      <c r="GSR20" s="582"/>
      <c r="GSS20" s="582"/>
      <c r="GST20" s="582"/>
      <c r="GSU20" s="582"/>
      <c r="GSV20" s="582"/>
      <c r="GSW20" s="582"/>
      <c r="GSX20" s="582"/>
      <c r="GSY20" s="582"/>
      <c r="GSZ20" s="582"/>
      <c r="GTA20" s="582"/>
      <c r="GTB20" s="582"/>
      <c r="GTC20" s="582"/>
      <c r="GTD20" s="582"/>
      <c r="GTE20" s="582"/>
      <c r="GTF20" s="582"/>
      <c r="GTG20" s="582"/>
      <c r="GTH20" s="582"/>
      <c r="GTI20" s="582"/>
      <c r="GTJ20" s="582"/>
      <c r="GTK20" s="582"/>
      <c r="GTL20" s="582"/>
      <c r="GTM20" s="582"/>
      <c r="GTN20" s="582"/>
      <c r="GTO20" s="582"/>
      <c r="GTP20" s="582"/>
      <c r="GTQ20" s="582"/>
      <c r="GTR20" s="582"/>
      <c r="GTS20" s="582"/>
      <c r="GTT20" s="582"/>
      <c r="GTU20" s="582"/>
      <c r="GTV20" s="582"/>
      <c r="GTW20" s="582"/>
      <c r="GTX20" s="582"/>
      <c r="GTY20" s="582"/>
      <c r="GTZ20" s="582"/>
      <c r="GUA20" s="582"/>
      <c r="GUB20" s="582"/>
      <c r="GUC20" s="582"/>
    </row>
    <row r="21" spans="1:5281" ht="20.25" customHeight="1" thickBot="1">
      <c r="A21" s="594">
        <v>2</v>
      </c>
      <c r="B21" s="595" t="s">
        <v>771</v>
      </c>
      <c r="C21" s="610">
        <v>0</v>
      </c>
      <c r="D21" s="611">
        <v>506824.84299999999</v>
      </c>
      <c r="E21" s="611">
        <v>0</v>
      </c>
      <c r="F21" s="598">
        <f t="shared" si="1"/>
        <v>506824.84299999999</v>
      </c>
      <c r="G21" s="613"/>
      <c r="H21" s="614"/>
      <c r="I21" s="614"/>
      <c r="J21" s="614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2"/>
      <c r="AQ21" s="582"/>
      <c r="AR21" s="582"/>
      <c r="AS21" s="582"/>
      <c r="AT21" s="582"/>
      <c r="AU21" s="582"/>
      <c r="AV21" s="582"/>
      <c r="AW21" s="582"/>
      <c r="AX21" s="582"/>
      <c r="AY21" s="582"/>
      <c r="AZ21" s="582"/>
      <c r="BA21" s="582"/>
      <c r="BB21" s="582"/>
      <c r="BC21" s="582"/>
      <c r="BD21" s="582"/>
      <c r="BE21" s="582"/>
      <c r="BF21" s="582"/>
      <c r="BG21" s="582"/>
      <c r="BH21" s="582"/>
      <c r="BI21" s="582"/>
      <c r="BJ21" s="582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582"/>
      <c r="BV21" s="582"/>
      <c r="BW21" s="582"/>
      <c r="BX21" s="582"/>
      <c r="BY21" s="582"/>
      <c r="BZ21" s="582"/>
      <c r="CA21" s="582"/>
      <c r="CB21" s="582"/>
      <c r="CC21" s="582"/>
      <c r="CD21" s="582"/>
      <c r="CE21" s="582"/>
      <c r="CF21" s="582"/>
      <c r="CG21" s="582"/>
      <c r="CH21" s="582"/>
      <c r="CI21" s="582"/>
      <c r="CJ21" s="582"/>
      <c r="CK21" s="582"/>
      <c r="CL21" s="582"/>
      <c r="CM21" s="582"/>
      <c r="CN21" s="582"/>
      <c r="CO21" s="582"/>
      <c r="CP21" s="582"/>
      <c r="CQ21" s="582"/>
      <c r="CR21" s="582"/>
      <c r="CS21" s="582"/>
      <c r="CT21" s="582"/>
      <c r="CU21" s="582"/>
      <c r="CV21" s="582"/>
      <c r="CW21" s="582"/>
      <c r="CX21" s="582"/>
      <c r="CY21" s="582"/>
      <c r="CZ21" s="582"/>
      <c r="DA21" s="582"/>
      <c r="DB21" s="582"/>
      <c r="DC21" s="582"/>
      <c r="DD21" s="582"/>
      <c r="DE21" s="582"/>
      <c r="DF21" s="582"/>
      <c r="DG21" s="582"/>
      <c r="DH21" s="582"/>
      <c r="DI21" s="582"/>
      <c r="DJ21" s="582"/>
      <c r="DK21" s="582"/>
      <c r="DL21" s="582"/>
      <c r="DM21" s="582"/>
      <c r="DN21" s="582"/>
      <c r="DO21" s="582"/>
      <c r="DP21" s="582"/>
      <c r="DQ21" s="582"/>
      <c r="DR21" s="582"/>
      <c r="DS21" s="582"/>
      <c r="DT21" s="582"/>
      <c r="DU21" s="582"/>
      <c r="DV21" s="582"/>
      <c r="DW21" s="582"/>
      <c r="DX21" s="582"/>
      <c r="DY21" s="582"/>
      <c r="DZ21" s="582"/>
      <c r="EA21" s="582"/>
      <c r="EB21" s="582"/>
      <c r="EC21" s="582"/>
      <c r="ED21" s="582"/>
      <c r="EE21" s="582"/>
      <c r="EF21" s="582"/>
      <c r="EG21" s="582"/>
      <c r="EH21" s="582"/>
      <c r="EI21" s="582"/>
      <c r="EJ21" s="582"/>
      <c r="EK21" s="582"/>
      <c r="EL21" s="582"/>
      <c r="EM21" s="582"/>
      <c r="EN21" s="582"/>
      <c r="EO21" s="582"/>
      <c r="EP21" s="582"/>
      <c r="EQ21" s="582"/>
      <c r="ER21" s="582"/>
      <c r="ES21" s="582"/>
      <c r="ET21" s="582"/>
      <c r="EU21" s="582"/>
      <c r="EV21" s="582"/>
      <c r="EW21" s="582"/>
      <c r="EX21" s="582"/>
      <c r="EY21" s="582"/>
      <c r="EZ21" s="582"/>
      <c r="FA21" s="582"/>
      <c r="FB21" s="582"/>
      <c r="FC21" s="582"/>
      <c r="FD21" s="582"/>
      <c r="FE21" s="582"/>
      <c r="FF21" s="582"/>
      <c r="FG21" s="582"/>
      <c r="FH21" s="582"/>
      <c r="FI21" s="582"/>
      <c r="FJ21" s="582"/>
      <c r="FK21" s="582"/>
      <c r="FL21" s="582"/>
      <c r="FM21" s="582"/>
      <c r="FN21" s="582"/>
      <c r="FO21" s="582"/>
      <c r="FP21" s="582"/>
      <c r="FQ21" s="582"/>
      <c r="FR21" s="582"/>
      <c r="FS21" s="582"/>
      <c r="FT21" s="582"/>
      <c r="FU21" s="582"/>
      <c r="FV21" s="582"/>
      <c r="FW21" s="582"/>
      <c r="FX21" s="582"/>
      <c r="FY21" s="582"/>
      <c r="FZ21" s="582"/>
      <c r="GA21" s="582"/>
      <c r="GB21" s="582"/>
      <c r="GC21" s="582"/>
      <c r="GD21" s="582"/>
      <c r="GE21" s="582"/>
      <c r="GF21" s="582"/>
      <c r="GG21" s="582"/>
      <c r="GH21" s="582"/>
      <c r="GI21" s="582"/>
      <c r="GJ21" s="582"/>
      <c r="GK21" s="582"/>
      <c r="GL21" s="582"/>
      <c r="GM21" s="582"/>
      <c r="GN21" s="582"/>
      <c r="GO21" s="582"/>
      <c r="GP21" s="582"/>
      <c r="GQ21" s="582"/>
      <c r="GR21" s="582"/>
      <c r="GS21" s="582"/>
      <c r="GT21" s="582"/>
      <c r="GU21" s="582"/>
      <c r="GV21" s="582"/>
      <c r="GW21" s="582"/>
      <c r="GX21" s="582"/>
      <c r="GY21" s="582"/>
      <c r="GZ21" s="582"/>
      <c r="HA21" s="582"/>
      <c r="HB21" s="582"/>
      <c r="HC21" s="582"/>
      <c r="HD21" s="582"/>
      <c r="HE21" s="582"/>
      <c r="HF21" s="582"/>
      <c r="HG21" s="582"/>
      <c r="HH21" s="582"/>
      <c r="HI21" s="582"/>
      <c r="HJ21" s="582"/>
      <c r="HK21" s="582"/>
      <c r="HL21" s="582"/>
      <c r="HM21" s="582"/>
      <c r="HN21" s="582"/>
      <c r="HO21" s="582"/>
      <c r="HP21" s="582"/>
      <c r="HQ21" s="582"/>
      <c r="HR21" s="582"/>
      <c r="HS21" s="582"/>
      <c r="HT21" s="582"/>
      <c r="HU21" s="582"/>
      <c r="HV21" s="582"/>
      <c r="HW21" s="582"/>
      <c r="HX21" s="582"/>
      <c r="HY21" s="582"/>
      <c r="HZ21" s="582"/>
      <c r="IA21" s="582"/>
      <c r="IB21" s="582"/>
      <c r="IC21" s="582"/>
      <c r="ID21" s="582"/>
      <c r="IE21" s="582"/>
      <c r="IF21" s="582"/>
      <c r="IG21" s="582"/>
      <c r="IH21" s="582"/>
      <c r="II21" s="582"/>
      <c r="IJ21" s="582"/>
      <c r="IK21" s="582"/>
      <c r="IL21" s="582"/>
      <c r="IM21" s="582"/>
      <c r="IN21" s="582"/>
      <c r="IO21" s="582"/>
      <c r="IP21" s="582"/>
      <c r="IQ21" s="582"/>
      <c r="IR21" s="582"/>
      <c r="IS21" s="582"/>
      <c r="IT21" s="582"/>
      <c r="IU21" s="582"/>
      <c r="IV21" s="582"/>
      <c r="IW21" s="582"/>
      <c r="IX21" s="582"/>
      <c r="IY21" s="582"/>
      <c r="IZ21" s="582"/>
      <c r="JA21" s="582"/>
      <c r="JB21" s="582"/>
      <c r="JC21" s="582"/>
      <c r="JD21" s="582"/>
      <c r="JE21" s="582"/>
      <c r="JF21" s="582"/>
      <c r="JG21" s="582"/>
      <c r="JH21" s="582"/>
      <c r="JI21" s="582"/>
      <c r="JJ21" s="582"/>
      <c r="JK21" s="582"/>
      <c r="JL21" s="582"/>
      <c r="JM21" s="582"/>
      <c r="JN21" s="582"/>
      <c r="JO21" s="582"/>
      <c r="JP21" s="582"/>
      <c r="JQ21" s="582"/>
      <c r="JR21" s="582"/>
      <c r="JS21" s="582"/>
      <c r="JT21" s="582"/>
      <c r="JU21" s="582"/>
      <c r="JV21" s="582"/>
      <c r="JW21" s="582"/>
      <c r="JX21" s="582"/>
      <c r="JY21" s="582"/>
      <c r="JZ21" s="582"/>
      <c r="KA21" s="582"/>
      <c r="KB21" s="582"/>
      <c r="KC21" s="582"/>
      <c r="KD21" s="582"/>
      <c r="KE21" s="582"/>
      <c r="KF21" s="582"/>
      <c r="KG21" s="582"/>
      <c r="KH21" s="582"/>
      <c r="KI21" s="582"/>
      <c r="KJ21" s="582"/>
      <c r="KK21" s="582"/>
      <c r="KL21" s="582"/>
      <c r="KM21" s="582"/>
      <c r="KN21" s="582"/>
      <c r="KO21" s="582"/>
      <c r="KP21" s="582"/>
      <c r="KQ21" s="582"/>
      <c r="KR21" s="582"/>
      <c r="KS21" s="582"/>
      <c r="KT21" s="582"/>
      <c r="KU21" s="582"/>
      <c r="KV21" s="582"/>
      <c r="KW21" s="582"/>
      <c r="KX21" s="582"/>
      <c r="KY21" s="582"/>
      <c r="KZ21" s="582"/>
      <c r="LA21" s="582"/>
      <c r="LB21" s="582"/>
      <c r="LC21" s="582"/>
      <c r="LD21" s="582"/>
      <c r="LE21" s="582"/>
      <c r="LF21" s="582"/>
      <c r="LG21" s="582"/>
      <c r="LH21" s="582"/>
      <c r="LI21" s="582"/>
      <c r="LJ21" s="582"/>
      <c r="LK21" s="582"/>
      <c r="LL21" s="582"/>
      <c r="LM21" s="582"/>
      <c r="LN21" s="582"/>
      <c r="LO21" s="582"/>
      <c r="LP21" s="582"/>
      <c r="LQ21" s="582"/>
      <c r="LR21" s="582"/>
      <c r="LS21" s="582"/>
      <c r="LT21" s="582"/>
      <c r="LU21" s="582"/>
      <c r="LV21" s="582"/>
      <c r="LW21" s="582"/>
      <c r="LX21" s="582"/>
      <c r="LY21" s="582"/>
      <c r="LZ21" s="582"/>
      <c r="MA21" s="582"/>
      <c r="MB21" s="582"/>
      <c r="MC21" s="582"/>
      <c r="MD21" s="582"/>
      <c r="ME21" s="582"/>
      <c r="MF21" s="582"/>
      <c r="MG21" s="582"/>
      <c r="MH21" s="582"/>
      <c r="MI21" s="582"/>
      <c r="MJ21" s="582"/>
      <c r="MK21" s="582"/>
      <c r="ML21" s="582"/>
      <c r="MM21" s="582"/>
      <c r="MN21" s="582"/>
      <c r="MO21" s="582"/>
      <c r="MP21" s="582"/>
      <c r="MQ21" s="582"/>
      <c r="MR21" s="582"/>
      <c r="MS21" s="582"/>
      <c r="MT21" s="582"/>
      <c r="MU21" s="582"/>
      <c r="MV21" s="582"/>
      <c r="MW21" s="582"/>
      <c r="MX21" s="582"/>
      <c r="MY21" s="582"/>
      <c r="MZ21" s="582"/>
      <c r="NA21" s="582"/>
      <c r="NB21" s="582"/>
      <c r="NC21" s="582"/>
      <c r="ND21" s="582"/>
      <c r="NE21" s="582"/>
      <c r="NF21" s="582"/>
      <c r="NG21" s="582"/>
      <c r="NH21" s="582"/>
      <c r="NI21" s="582"/>
      <c r="NJ21" s="582"/>
      <c r="NK21" s="582"/>
      <c r="NL21" s="582"/>
      <c r="NM21" s="582"/>
      <c r="NN21" s="582"/>
      <c r="NO21" s="582"/>
      <c r="NP21" s="582"/>
      <c r="NQ21" s="582"/>
      <c r="NR21" s="582"/>
      <c r="NS21" s="582"/>
      <c r="NT21" s="582"/>
      <c r="NU21" s="582"/>
      <c r="NV21" s="582"/>
      <c r="NW21" s="582"/>
      <c r="NX21" s="582"/>
      <c r="NY21" s="582"/>
      <c r="NZ21" s="582"/>
      <c r="OA21" s="582"/>
      <c r="OB21" s="582"/>
      <c r="OC21" s="582"/>
      <c r="OD21" s="582"/>
      <c r="OE21" s="582"/>
      <c r="OF21" s="582"/>
      <c r="OG21" s="582"/>
      <c r="OH21" s="582"/>
      <c r="OI21" s="582"/>
      <c r="OJ21" s="582"/>
      <c r="OK21" s="582"/>
      <c r="OL21" s="582"/>
      <c r="OM21" s="582"/>
      <c r="ON21" s="582"/>
      <c r="OO21" s="582"/>
      <c r="OP21" s="582"/>
      <c r="OQ21" s="582"/>
      <c r="OR21" s="582"/>
      <c r="OS21" s="582"/>
      <c r="OT21" s="582"/>
      <c r="OU21" s="582"/>
      <c r="OV21" s="582"/>
      <c r="OW21" s="582"/>
      <c r="OX21" s="582"/>
      <c r="OY21" s="582"/>
      <c r="OZ21" s="582"/>
      <c r="PA21" s="582"/>
      <c r="PB21" s="582"/>
      <c r="PC21" s="582"/>
      <c r="PD21" s="582"/>
      <c r="PE21" s="582"/>
      <c r="PF21" s="582"/>
      <c r="PG21" s="582"/>
      <c r="PH21" s="582"/>
      <c r="PI21" s="582"/>
      <c r="PJ21" s="582"/>
      <c r="PK21" s="582"/>
      <c r="PL21" s="582"/>
      <c r="PM21" s="582"/>
      <c r="PN21" s="582"/>
      <c r="PO21" s="582"/>
      <c r="PP21" s="582"/>
      <c r="PQ21" s="582"/>
      <c r="PR21" s="582"/>
      <c r="PS21" s="582"/>
      <c r="PT21" s="582"/>
      <c r="PU21" s="582"/>
      <c r="PV21" s="582"/>
      <c r="PW21" s="582"/>
      <c r="PX21" s="582"/>
      <c r="PY21" s="582"/>
      <c r="PZ21" s="582"/>
      <c r="QA21" s="582"/>
      <c r="QB21" s="582"/>
      <c r="QC21" s="582"/>
      <c r="QD21" s="582"/>
      <c r="QE21" s="582"/>
      <c r="QF21" s="582"/>
      <c r="QG21" s="582"/>
      <c r="QH21" s="582"/>
      <c r="QI21" s="582"/>
      <c r="QJ21" s="582"/>
      <c r="QK21" s="582"/>
      <c r="QL21" s="582"/>
      <c r="QM21" s="582"/>
      <c r="QN21" s="582"/>
      <c r="QO21" s="582"/>
      <c r="QP21" s="582"/>
      <c r="QQ21" s="582"/>
      <c r="QR21" s="582"/>
      <c r="QS21" s="582"/>
      <c r="QT21" s="582"/>
      <c r="QU21" s="582"/>
      <c r="QV21" s="582"/>
      <c r="QW21" s="582"/>
      <c r="QX21" s="582"/>
      <c r="QY21" s="582"/>
      <c r="QZ21" s="582"/>
      <c r="RA21" s="582"/>
      <c r="RB21" s="582"/>
      <c r="RC21" s="582"/>
      <c r="RD21" s="582"/>
      <c r="RE21" s="582"/>
      <c r="RF21" s="582"/>
      <c r="RG21" s="582"/>
      <c r="RH21" s="582"/>
      <c r="RI21" s="582"/>
      <c r="RJ21" s="582"/>
      <c r="RK21" s="582"/>
      <c r="RL21" s="582"/>
      <c r="RM21" s="582"/>
      <c r="RN21" s="582"/>
      <c r="RO21" s="582"/>
      <c r="RP21" s="582"/>
      <c r="RQ21" s="582"/>
      <c r="RR21" s="582"/>
      <c r="RS21" s="582"/>
      <c r="RT21" s="582"/>
      <c r="RU21" s="582"/>
      <c r="RV21" s="582"/>
      <c r="RW21" s="582"/>
      <c r="RX21" s="582"/>
      <c r="RY21" s="582"/>
      <c r="RZ21" s="582"/>
      <c r="SA21" s="582"/>
      <c r="SB21" s="582"/>
      <c r="SC21" s="582"/>
      <c r="SD21" s="582"/>
      <c r="SE21" s="582"/>
      <c r="SF21" s="582"/>
      <c r="SG21" s="582"/>
      <c r="SH21" s="582"/>
      <c r="SI21" s="582"/>
      <c r="SJ21" s="582"/>
      <c r="SK21" s="582"/>
      <c r="SL21" s="582"/>
      <c r="SM21" s="582"/>
      <c r="SN21" s="582"/>
      <c r="SO21" s="582"/>
      <c r="SP21" s="582"/>
      <c r="SQ21" s="582"/>
      <c r="SR21" s="582"/>
      <c r="SS21" s="582"/>
      <c r="ST21" s="582"/>
      <c r="SU21" s="582"/>
      <c r="SV21" s="582"/>
      <c r="SW21" s="582"/>
      <c r="SX21" s="582"/>
      <c r="SY21" s="582"/>
      <c r="SZ21" s="582"/>
      <c r="TA21" s="582"/>
      <c r="TB21" s="582"/>
      <c r="TC21" s="582"/>
      <c r="TD21" s="582"/>
      <c r="TE21" s="582"/>
      <c r="TF21" s="582"/>
      <c r="TG21" s="582"/>
      <c r="TH21" s="582"/>
      <c r="TI21" s="582"/>
      <c r="TJ21" s="582"/>
      <c r="TK21" s="582"/>
      <c r="TL21" s="582"/>
      <c r="TM21" s="582"/>
      <c r="TN21" s="582"/>
      <c r="TO21" s="582"/>
      <c r="TP21" s="582"/>
      <c r="TQ21" s="582"/>
      <c r="TR21" s="582"/>
      <c r="TS21" s="582"/>
      <c r="TT21" s="582"/>
      <c r="TU21" s="582"/>
      <c r="TV21" s="582"/>
      <c r="TW21" s="582"/>
      <c r="TX21" s="582"/>
      <c r="TY21" s="582"/>
      <c r="TZ21" s="582"/>
      <c r="UA21" s="582"/>
      <c r="UB21" s="582"/>
      <c r="UC21" s="582"/>
      <c r="UD21" s="582"/>
      <c r="UE21" s="582"/>
      <c r="UF21" s="582"/>
      <c r="UG21" s="582"/>
      <c r="UH21" s="582"/>
      <c r="UI21" s="582"/>
      <c r="UJ21" s="582"/>
      <c r="UK21" s="582"/>
      <c r="UL21" s="582"/>
      <c r="UM21" s="582"/>
      <c r="UN21" s="582"/>
      <c r="UO21" s="582"/>
      <c r="UP21" s="582"/>
      <c r="UQ21" s="582"/>
      <c r="UR21" s="582"/>
      <c r="US21" s="582"/>
      <c r="UT21" s="582"/>
      <c r="UU21" s="582"/>
      <c r="UV21" s="582"/>
      <c r="UW21" s="582"/>
      <c r="UX21" s="582"/>
      <c r="UY21" s="582"/>
      <c r="UZ21" s="582"/>
      <c r="VA21" s="582"/>
      <c r="VB21" s="582"/>
      <c r="VC21" s="582"/>
      <c r="VD21" s="582"/>
      <c r="VE21" s="582"/>
      <c r="VF21" s="582"/>
      <c r="VG21" s="582"/>
      <c r="VH21" s="582"/>
      <c r="VI21" s="582"/>
      <c r="VJ21" s="582"/>
      <c r="VK21" s="582"/>
      <c r="VL21" s="582"/>
      <c r="VM21" s="582"/>
      <c r="VN21" s="582"/>
      <c r="VO21" s="582"/>
      <c r="VP21" s="582"/>
      <c r="VQ21" s="582"/>
      <c r="VR21" s="582"/>
      <c r="VS21" s="582"/>
      <c r="VT21" s="582"/>
      <c r="VU21" s="582"/>
      <c r="VV21" s="582"/>
      <c r="VW21" s="582"/>
      <c r="VX21" s="582"/>
      <c r="VY21" s="582"/>
      <c r="VZ21" s="582"/>
      <c r="WA21" s="582"/>
      <c r="WB21" s="582"/>
      <c r="WC21" s="582"/>
      <c r="WD21" s="582"/>
      <c r="WE21" s="582"/>
      <c r="WF21" s="582"/>
      <c r="WG21" s="582"/>
      <c r="WH21" s="582"/>
      <c r="WI21" s="582"/>
      <c r="WJ21" s="582"/>
      <c r="WK21" s="582"/>
      <c r="WL21" s="582"/>
      <c r="WM21" s="582"/>
      <c r="WN21" s="582"/>
      <c r="WO21" s="582"/>
      <c r="WP21" s="582"/>
      <c r="WQ21" s="582"/>
      <c r="WR21" s="582"/>
      <c r="WS21" s="582"/>
      <c r="WT21" s="582"/>
      <c r="WU21" s="582"/>
      <c r="WV21" s="582"/>
      <c r="WW21" s="582"/>
      <c r="WX21" s="582"/>
      <c r="WY21" s="582"/>
      <c r="WZ21" s="582"/>
      <c r="XA21" s="582"/>
      <c r="XB21" s="582"/>
      <c r="XC21" s="582"/>
      <c r="XD21" s="582"/>
      <c r="XE21" s="582"/>
      <c r="XF21" s="582"/>
      <c r="XG21" s="582"/>
      <c r="XH21" s="582"/>
      <c r="XI21" s="582"/>
      <c r="XJ21" s="582"/>
      <c r="XK21" s="582"/>
      <c r="XL21" s="582"/>
      <c r="XM21" s="582"/>
      <c r="XN21" s="582"/>
      <c r="XO21" s="582"/>
      <c r="XP21" s="582"/>
      <c r="XQ21" s="582"/>
      <c r="XR21" s="582"/>
      <c r="XS21" s="582"/>
      <c r="XT21" s="582"/>
      <c r="XU21" s="582"/>
      <c r="XV21" s="582"/>
      <c r="XW21" s="582"/>
      <c r="XX21" s="582"/>
      <c r="XY21" s="582"/>
      <c r="XZ21" s="582"/>
      <c r="YA21" s="582"/>
      <c r="YB21" s="582"/>
      <c r="YC21" s="582"/>
      <c r="YD21" s="582"/>
      <c r="YE21" s="582"/>
      <c r="YF21" s="582"/>
      <c r="YG21" s="582"/>
      <c r="YH21" s="582"/>
      <c r="YI21" s="582"/>
      <c r="YJ21" s="582"/>
      <c r="YK21" s="582"/>
      <c r="YL21" s="582"/>
      <c r="YM21" s="582"/>
      <c r="YN21" s="582"/>
      <c r="YO21" s="582"/>
      <c r="YP21" s="582"/>
      <c r="YQ21" s="582"/>
      <c r="YR21" s="582"/>
      <c r="YS21" s="582"/>
      <c r="YT21" s="582"/>
      <c r="YU21" s="582"/>
      <c r="YV21" s="582"/>
      <c r="YW21" s="582"/>
      <c r="YX21" s="582"/>
      <c r="YY21" s="582"/>
      <c r="YZ21" s="582"/>
      <c r="ZA21" s="582"/>
      <c r="ZB21" s="582"/>
      <c r="ZC21" s="582"/>
      <c r="ZD21" s="582"/>
      <c r="ZE21" s="582"/>
      <c r="ZF21" s="582"/>
      <c r="ZG21" s="582"/>
      <c r="ZH21" s="582"/>
      <c r="ZI21" s="582"/>
      <c r="ZJ21" s="582"/>
      <c r="ZK21" s="582"/>
      <c r="ZL21" s="582"/>
      <c r="ZM21" s="582"/>
      <c r="ZN21" s="582"/>
      <c r="ZO21" s="582"/>
      <c r="ZP21" s="582"/>
      <c r="ZQ21" s="582"/>
      <c r="ZR21" s="582"/>
      <c r="ZS21" s="582"/>
      <c r="ZT21" s="582"/>
      <c r="ZU21" s="582"/>
      <c r="ZV21" s="582"/>
      <c r="ZW21" s="582"/>
      <c r="ZX21" s="582"/>
      <c r="ZY21" s="582"/>
      <c r="ZZ21" s="582"/>
      <c r="AAA21" s="582"/>
      <c r="AAB21" s="582"/>
      <c r="AAC21" s="582"/>
      <c r="AAD21" s="582"/>
      <c r="AAE21" s="582"/>
      <c r="AAF21" s="582"/>
      <c r="AAG21" s="582"/>
      <c r="AAH21" s="582"/>
      <c r="AAI21" s="582"/>
      <c r="AAJ21" s="582"/>
      <c r="AAK21" s="582"/>
      <c r="AAL21" s="582"/>
      <c r="AAM21" s="582"/>
      <c r="AAN21" s="582"/>
      <c r="AAO21" s="582"/>
      <c r="AAP21" s="582"/>
      <c r="AAQ21" s="582"/>
      <c r="AAR21" s="582"/>
      <c r="AAS21" s="582"/>
      <c r="AAT21" s="582"/>
      <c r="AAU21" s="582"/>
      <c r="AAV21" s="582"/>
      <c r="AAW21" s="582"/>
      <c r="AAX21" s="582"/>
      <c r="AAY21" s="582"/>
      <c r="AAZ21" s="582"/>
      <c r="ABA21" s="582"/>
      <c r="ABB21" s="582"/>
      <c r="ABC21" s="582"/>
      <c r="ABD21" s="582"/>
      <c r="ABE21" s="582"/>
      <c r="ABF21" s="582"/>
      <c r="ABG21" s="582"/>
      <c r="ABH21" s="582"/>
      <c r="ABI21" s="582"/>
      <c r="ABJ21" s="582"/>
      <c r="ABK21" s="582"/>
      <c r="ABL21" s="582"/>
      <c r="ABM21" s="582"/>
      <c r="ABN21" s="582"/>
      <c r="ABO21" s="582"/>
      <c r="ABP21" s="582"/>
      <c r="ABQ21" s="582"/>
      <c r="ABR21" s="582"/>
      <c r="ABS21" s="582"/>
      <c r="ABT21" s="582"/>
      <c r="ABU21" s="582"/>
      <c r="ABV21" s="582"/>
      <c r="ABW21" s="582"/>
      <c r="ABX21" s="582"/>
      <c r="ABY21" s="582"/>
      <c r="ABZ21" s="582"/>
      <c r="ACA21" s="582"/>
      <c r="ACB21" s="582"/>
      <c r="ACC21" s="582"/>
      <c r="ACD21" s="582"/>
      <c r="ACE21" s="582"/>
      <c r="ACF21" s="582"/>
      <c r="ACG21" s="582"/>
      <c r="ACH21" s="582"/>
      <c r="ACI21" s="582"/>
      <c r="ACJ21" s="582"/>
      <c r="ACK21" s="582"/>
      <c r="ACL21" s="582"/>
      <c r="ACM21" s="582"/>
      <c r="ACN21" s="582"/>
      <c r="ACO21" s="582"/>
      <c r="ACP21" s="582"/>
      <c r="ACQ21" s="582"/>
      <c r="ACR21" s="582"/>
      <c r="ACS21" s="582"/>
      <c r="ACT21" s="582"/>
      <c r="ACU21" s="582"/>
      <c r="ACV21" s="582"/>
      <c r="ACW21" s="582"/>
      <c r="ACX21" s="582"/>
      <c r="ACY21" s="582"/>
      <c r="ACZ21" s="582"/>
      <c r="ADA21" s="582"/>
      <c r="ADB21" s="582"/>
      <c r="ADC21" s="582"/>
      <c r="ADD21" s="582"/>
      <c r="ADE21" s="582"/>
      <c r="ADF21" s="582"/>
      <c r="ADG21" s="582"/>
      <c r="ADH21" s="582"/>
      <c r="ADI21" s="582"/>
      <c r="ADJ21" s="582"/>
      <c r="ADK21" s="582"/>
      <c r="ADL21" s="582"/>
      <c r="ADM21" s="582"/>
      <c r="ADN21" s="582"/>
      <c r="ADO21" s="582"/>
      <c r="ADP21" s="582"/>
      <c r="ADQ21" s="582"/>
      <c r="ADR21" s="582"/>
      <c r="ADS21" s="582"/>
      <c r="ADT21" s="582"/>
      <c r="ADU21" s="582"/>
      <c r="ADV21" s="582"/>
      <c r="ADW21" s="582"/>
      <c r="ADX21" s="582"/>
      <c r="ADY21" s="582"/>
      <c r="ADZ21" s="582"/>
      <c r="AEA21" s="582"/>
      <c r="AEB21" s="582"/>
      <c r="AEC21" s="582"/>
      <c r="AED21" s="582"/>
      <c r="AEE21" s="582"/>
      <c r="AEF21" s="582"/>
      <c r="AEG21" s="582"/>
      <c r="AEH21" s="582"/>
      <c r="AEI21" s="582"/>
      <c r="AEJ21" s="582"/>
      <c r="AEK21" s="582"/>
      <c r="AEL21" s="582"/>
      <c r="AEM21" s="582"/>
      <c r="AEN21" s="582"/>
      <c r="AEO21" s="582"/>
      <c r="AEP21" s="582"/>
      <c r="AEQ21" s="582"/>
      <c r="AER21" s="582"/>
      <c r="AES21" s="582"/>
      <c r="AET21" s="582"/>
      <c r="AEU21" s="582"/>
      <c r="AEV21" s="582"/>
      <c r="AEW21" s="582"/>
      <c r="AEX21" s="582"/>
      <c r="AEY21" s="582"/>
      <c r="AEZ21" s="582"/>
      <c r="AFA21" s="582"/>
      <c r="AFB21" s="582"/>
      <c r="AFC21" s="582"/>
      <c r="AFD21" s="582"/>
      <c r="AFE21" s="582"/>
      <c r="AFF21" s="582"/>
      <c r="AFG21" s="582"/>
      <c r="AFH21" s="582"/>
      <c r="AFI21" s="582"/>
      <c r="AFJ21" s="582"/>
      <c r="AFK21" s="582"/>
      <c r="AFL21" s="582"/>
      <c r="AFM21" s="582"/>
      <c r="AFN21" s="582"/>
      <c r="AFO21" s="582"/>
      <c r="AFP21" s="582"/>
      <c r="AFQ21" s="582"/>
      <c r="AFR21" s="582"/>
      <c r="AFS21" s="582"/>
      <c r="AFT21" s="582"/>
      <c r="AFU21" s="582"/>
      <c r="AFV21" s="582"/>
      <c r="AFW21" s="582"/>
      <c r="AFX21" s="582"/>
      <c r="AFY21" s="582"/>
      <c r="AFZ21" s="582"/>
      <c r="AGA21" s="582"/>
      <c r="AGB21" s="582"/>
      <c r="AGC21" s="582"/>
      <c r="AGD21" s="582"/>
      <c r="AGE21" s="582"/>
      <c r="AGF21" s="582"/>
      <c r="AGG21" s="582"/>
      <c r="AGH21" s="582"/>
      <c r="AGI21" s="582"/>
      <c r="AGJ21" s="582"/>
      <c r="AGK21" s="582"/>
      <c r="AGL21" s="582"/>
      <c r="AGM21" s="582"/>
      <c r="AGN21" s="582"/>
      <c r="AGO21" s="582"/>
      <c r="AGP21" s="582"/>
      <c r="AGQ21" s="582"/>
      <c r="AGR21" s="582"/>
      <c r="AGS21" s="582"/>
      <c r="AGT21" s="582"/>
      <c r="AGU21" s="582"/>
      <c r="AGV21" s="582"/>
      <c r="AGW21" s="582"/>
      <c r="AGX21" s="582"/>
      <c r="AGY21" s="582"/>
      <c r="AGZ21" s="582"/>
      <c r="AHA21" s="582"/>
      <c r="AHB21" s="582"/>
      <c r="AHC21" s="582"/>
      <c r="AHD21" s="582"/>
      <c r="AHE21" s="582"/>
      <c r="AHF21" s="582"/>
      <c r="AHG21" s="582"/>
      <c r="AHH21" s="582"/>
      <c r="AHI21" s="582"/>
      <c r="AHJ21" s="582"/>
      <c r="AHK21" s="582"/>
      <c r="AHL21" s="582"/>
      <c r="AHM21" s="582"/>
      <c r="AHN21" s="582"/>
      <c r="AHO21" s="582"/>
      <c r="AHP21" s="582"/>
      <c r="AHQ21" s="582"/>
      <c r="AHR21" s="582"/>
      <c r="AHS21" s="582"/>
      <c r="AHT21" s="582"/>
      <c r="AHU21" s="582"/>
      <c r="AHV21" s="582"/>
      <c r="AHW21" s="582"/>
      <c r="AHX21" s="582"/>
      <c r="AHY21" s="582"/>
      <c r="AHZ21" s="582"/>
      <c r="AIA21" s="582"/>
      <c r="AIB21" s="582"/>
      <c r="AIC21" s="582"/>
      <c r="AID21" s="582"/>
      <c r="AIE21" s="582"/>
      <c r="AIF21" s="582"/>
      <c r="AIG21" s="582"/>
      <c r="AIH21" s="582"/>
      <c r="AII21" s="582"/>
      <c r="AIJ21" s="582"/>
      <c r="AIK21" s="582"/>
      <c r="AIL21" s="582"/>
      <c r="AIM21" s="582"/>
      <c r="AIN21" s="582"/>
      <c r="AIO21" s="582"/>
      <c r="AIP21" s="582"/>
      <c r="AIQ21" s="582"/>
      <c r="AIR21" s="582"/>
      <c r="AIS21" s="582"/>
      <c r="AIT21" s="582"/>
      <c r="AIU21" s="582"/>
      <c r="AIV21" s="582"/>
      <c r="AIW21" s="582"/>
      <c r="AIX21" s="582"/>
      <c r="AIY21" s="582"/>
      <c r="AIZ21" s="582"/>
      <c r="AJA21" s="582"/>
      <c r="AJB21" s="582"/>
      <c r="AJC21" s="582"/>
      <c r="AJD21" s="582"/>
      <c r="AJE21" s="582"/>
      <c r="AJF21" s="582"/>
      <c r="AJG21" s="582"/>
      <c r="AJH21" s="582"/>
      <c r="AJI21" s="582"/>
      <c r="AJJ21" s="582"/>
      <c r="AJK21" s="582"/>
      <c r="AJL21" s="582"/>
      <c r="AJM21" s="582"/>
      <c r="AJN21" s="582"/>
      <c r="AJO21" s="582"/>
      <c r="AJP21" s="582"/>
      <c r="AJQ21" s="582"/>
      <c r="AJR21" s="582"/>
      <c r="AJS21" s="582"/>
      <c r="AJT21" s="582"/>
      <c r="AJU21" s="582"/>
      <c r="AJV21" s="582"/>
      <c r="AJW21" s="582"/>
      <c r="AJX21" s="582"/>
      <c r="AJY21" s="582"/>
      <c r="AJZ21" s="582"/>
      <c r="AKA21" s="582"/>
      <c r="AKB21" s="582"/>
      <c r="AKC21" s="582"/>
      <c r="AKD21" s="582"/>
      <c r="AKE21" s="582"/>
      <c r="AKF21" s="582"/>
      <c r="AKG21" s="582"/>
      <c r="AKH21" s="582"/>
      <c r="AKI21" s="582"/>
      <c r="AKJ21" s="582"/>
      <c r="AKK21" s="582"/>
      <c r="AKL21" s="582"/>
      <c r="AKM21" s="582"/>
      <c r="AKN21" s="582"/>
      <c r="AKO21" s="582"/>
      <c r="AKP21" s="582"/>
      <c r="AKQ21" s="582"/>
      <c r="AKR21" s="582"/>
      <c r="AKS21" s="582"/>
      <c r="AKT21" s="582"/>
      <c r="AKU21" s="582"/>
      <c r="AKV21" s="582"/>
      <c r="AKW21" s="582"/>
      <c r="AKX21" s="582"/>
      <c r="AKY21" s="582"/>
      <c r="AKZ21" s="582"/>
      <c r="ALA21" s="582"/>
      <c r="ALB21" s="582"/>
      <c r="ALC21" s="582"/>
      <c r="ALD21" s="582"/>
      <c r="ALE21" s="582"/>
      <c r="ALF21" s="582"/>
      <c r="ALG21" s="582"/>
      <c r="ALH21" s="582"/>
      <c r="ALI21" s="582"/>
      <c r="ALJ21" s="582"/>
      <c r="ALK21" s="582"/>
      <c r="ALL21" s="582"/>
      <c r="ALM21" s="582"/>
      <c r="ALN21" s="582"/>
      <c r="ALO21" s="582"/>
      <c r="ALP21" s="582"/>
      <c r="ALQ21" s="582"/>
      <c r="ALR21" s="582"/>
      <c r="ALS21" s="582"/>
      <c r="ALT21" s="582"/>
      <c r="ALU21" s="582"/>
      <c r="ALV21" s="582"/>
      <c r="ALW21" s="582"/>
      <c r="ALX21" s="582"/>
      <c r="ALY21" s="582"/>
      <c r="ALZ21" s="582"/>
      <c r="AMA21" s="582"/>
      <c r="AMB21" s="582"/>
      <c r="AMC21" s="582"/>
      <c r="AMD21" s="582"/>
      <c r="AME21" s="582"/>
      <c r="AMF21" s="582"/>
      <c r="AMG21" s="582"/>
      <c r="AMH21" s="582"/>
      <c r="AMI21" s="582"/>
      <c r="AMJ21" s="582"/>
      <c r="AMK21" s="582"/>
      <c r="AML21" s="582"/>
      <c r="AMM21" s="582"/>
      <c r="AMN21" s="582"/>
      <c r="AMO21" s="582"/>
      <c r="AMP21" s="582"/>
      <c r="AMQ21" s="582"/>
      <c r="AMR21" s="582"/>
      <c r="AMS21" s="582"/>
      <c r="AMT21" s="582"/>
      <c r="AMU21" s="582"/>
      <c r="AMV21" s="582"/>
      <c r="AMW21" s="582"/>
      <c r="AMX21" s="582"/>
      <c r="AMY21" s="582"/>
      <c r="AMZ21" s="582"/>
      <c r="ANA21" s="582"/>
      <c r="ANB21" s="582"/>
      <c r="ANC21" s="582"/>
      <c r="AND21" s="582"/>
      <c r="ANE21" s="582"/>
      <c r="ANF21" s="582"/>
      <c r="ANG21" s="582"/>
      <c r="ANH21" s="582"/>
      <c r="ANI21" s="582"/>
      <c r="ANJ21" s="582"/>
      <c r="ANK21" s="582"/>
      <c r="ANL21" s="582"/>
      <c r="ANM21" s="582"/>
      <c r="ANN21" s="582"/>
      <c r="ANO21" s="582"/>
      <c r="ANP21" s="582"/>
      <c r="ANQ21" s="582"/>
      <c r="ANR21" s="582"/>
      <c r="ANS21" s="582"/>
      <c r="ANT21" s="582"/>
      <c r="ANU21" s="582"/>
      <c r="ANV21" s="582"/>
      <c r="ANW21" s="582"/>
      <c r="ANX21" s="582"/>
      <c r="ANY21" s="582"/>
      <c r="ANZ21" s="582"/>
      <c r="AOA21" s="582"/>
      <c r="AOB21" s="582"/>
      <c r="AOC21" s="582"/>
      <c r="AOD21" s="582"/>
      <c r="AOE21" s="582"/>
      <c r="AOF21" s="582"/>
      <c r="AOG21" s="582"/>
      <c r="AOH21" s="582"/>
      <c r="AOI21" s="582"/>
      <c r="AOJ21" s="582"/>
      <c r="AOK21" s="582"/>
      <c r="AOL21" s="582"/>
      <c r="AOM21" s="582"/>
      <c r="AON21" s="582"/>
      <c r="AOO21" s="582"/>
      <c r="AOP21" s="582"/>
      <c r="AOQ21" s="582"/>
      <c r="AOR21" s="582"/>
      <c r="AOS21" s="582"/>
      <c r="AOT21" s="582"/>
      <c r="AOU21" s="582"/>
      <c r="AOV21" s="582"/>
      <c r="AOW21" s="582"/>
      <c r="AOX21" s="582"/>
      <c r="AOY21" s="582"/>
      <c r="AOZ21" s="582"/>
      <c r="APA21" s="582"/>
      <c r="APB21" s="582"/>
      <c r="APC21" s="582"/>
      <c r="APD21" s="582"/>
      <c r="APE21" s="582"/>
      <c r="APF21" s="582"/>
      <c r="APG21" s="582"/>
      <c r="APH21" s="582"/>
      <c r="API21" s="582"/>
      <c r="APJ21" s="582"/>
      <c r="APK21" s="582"/>
      <c r="APL21" s="582"/>
      <c r="APM21" s="582"/>
      <c r="APN21" s="582"/>
      <c r="APO21" s="582"/>
      <c r="APP21" s="582"/>
      <c r="APQ21" s="582"/>
      <c r="APR21" s="582"/>
      <c r="APS21" s="582"/>
      <c r="APT21" s="582"/>
      <c r="APU21" s="582"/>
      <c r="APV21" s="582"/>
      <c r="APW21" s="582"/>
      <c r="APX21" s="582"/>
      <c r="APY21" s="582"/>
      <c r="APZ21" s="582"/>
      <c r="AQA21" s="582"/>
      <c r="AQB21" s="582"/>
      <c r="AQC21" s="582"/>
      <c r="AQD21" s="582"/>
      <c r="AQE21" s="582"/>
      <c r="AQF21" s="582"/>
      <c r="AQG21" s="582"/>
      <c r="AQH21" s="582"/>
      <c r="AQI21" s="582"/>
      <c r="AQJ21" s="582"/>
      <c r="AQK21" s="582"/>
      <c r="AQL21" s="582"/>
      <c r="AQM21" s="582"/>
      <c r="AQN21" s="582"/>
      <c r="AQO21" s="582"/>
      <c r="AQP21" s="582"/>
      <c r="AQQ21" s="582"/>
      <c r="AQR21" s="582"/>
      <c r="AQS21" s="582"/>
      <c r="AQT21" s="582"/>
      <c r="AQU21" s="582"/>
      <c r="AQV21" s="582"/>
      <c r="AQW21" s="582"/>
      <c r="AQX21" s="582"/>
      <c r="AQY21" s="582"/>
      <c r="AQZ21" s="582"/>
      <c r="ARA21" s="582"/>
      <c r="ARB21" s="582"/>
      <c r="ARC21" s="582"/>
      <c r="ARD21" s="582"/>
      <c r="ARE21" s="582"/>
      <c r="ARF21" s="582"/>
      <c r="ARG21" s="582"/>
      <c r="ARH21" s="582"/>
      <c r="ARI21" s="582"/>
      <c r="ARJ21" s="582"/>
      <c r="ARK21" s="582"/>
      <c r="ARL21" s="582"/>
      <c r="ARM21" s="582"/>
      <c r="ARN21" s="582"/>
      <c r="ARO21" s="582"/>
      <c r="ARP21" s="582"/>
      <c r="ARQ21" s="582"/>
      <c r="ARR21" s="582"/>
      <c r="ARS21" s="582"/>
      <c r="ART21" s="582"/>
      <c r="ARU21" s="582"/>
      <c r="ARV21" s="582"/>
      <c r="ARW21" s="582"/>
      <c r="ARX21" s="582"/>
      <c r="ARY21" s="582"/>
      <c r="ARZ21" s="582"/>
      <c r="ASA21" s="582"/>
      <c r="ASB21" s="582"/>
      <c r="ASC21" s="582"/>
      <c r="ASD21" s="582"/>
      <c r="ASE21" s="582"/>
      <c r="ASF21" s="582"/>
      <c r="ASG21" s="582"/>
      <c r="ASH21" s="582"/>
      <c r="ASI21" s="582"/>
      <c r="ASJ21" s="582"/>
      <c r="ASK21" s="582"/>
      <c r="ASL21" s="582"/>
      <c r="ASM21" s="582"/>
      <c r="ASN21" s="582"/>
      <c r="ASO21" s="582"/>
      <c r="ASP21" s="582"/>
      <c r="ASQ21" s="582"/>
      <c r="ASR21" s="582"/>
      <c r="ASS21" s="582"/>
      <c r="AST21" s="582"/>
      <c r="ASU21" s="582"/>
      <c r="ASV21" s="582"/>
      <c r="ASW21" s="582"/>
      <c r="ASX21" s="582"/>
      <c r="ASY21" s="582"/>
      <c r="ASZ21" s="582"/>
      <c r="ATA21" s="582"/>
      <c r="ATB21" s="582"/>
      <c r="ATC21" s="582"/>
      <c r="ATD21" s="582"/>
      <c r="ATE21" s="582"/>
      <c r="ATF21" s="582"/>
      <c r="ATG21" s="582"/>
      <c r="ATH21" s="582"/>
      <c r="ATI21" s="582"/>
      <c r="ATJ21" s="582"/>
      <c r="ATK21" s="582"/>
      <c r="ATL21" s="582"/>
      <c r="ATM21" s="582"/>
      <c r="ATN21" s="582"/>
      <c r="ATO21" s="582"/>
      <c r="ATP21" s="582"/>
      <c r="ATQ21" s="582"/>
      <c r="ATR21" s="582"/>
      <c r="ATS21" s="582"/>
      <c r="ATT21" s="582"/>
      <c r="ATU21" s="582"/>
      <c r="ATV21" s="582"/>
      <c r="ATW21" s="582"/>
      <c r="ATX21" s="582"/>
      <c r="ATY21" s="582"/>
      <c r="ATZ21" s="582"/>
      <c r="AUA21" s="582"/>
      <c r="AUB21" s="582"/>
      <c r="AUC21" s="582"/>
      <c r="AUD21" s="582"/>
      <c r="AUE21" s="582"/>
      <c r="AUF21" s="582"/>
      <c r="AUG21" s="582"/>
      <c r="AUH21" s="582"/>
      <c r="AUI21" s="582"/>
      <c r="AUJ21" s="582"/>
      <c r="AUK21" s="582"/>
      <c r="AUL21" s="582"/>
      <c r="AUM21" s="582"/>
      <c r="AUN21" s="582"/>
      <c r="AUO21" s="582"/>
      <c r="AUP21" s="582"/>
      <c r="AUQ21" s="582"/>
      <c r="AUR21" s="582"/>
      <c r="AUS21" s="582"/>
      <c r="AUT21" s="582"/>
      <c r="AUU21" s="582"/>
      <c r="AUV21" s="582"/>
      <c r="AUW21" s="582"/>
      <c r="AUX21" s="582"/>
      <c r="AUY21" s="582"/>
      <c r="AUZ21" s="582"/>
      <c r="AVA21" s="582"/>
      <c r="AVB21" s="582"/>
      <c r="AVC21" s="582"/>
      <c r="AVD21" s="582"/>
      <c r="AVE21" s="582"/>
      <c r="AVF21" s="582"/>
      <c r="AVG21" s="582"/>
      <c r="AVH21" s="582"/>
      <c r="AVI21" s="582"/>
      <c r="AVJ21" s="582"/>
      <c r="AVK21" s="582"/>
      <c r="AVL21" s="582"/>
      <c r="AVM21" s="582"/>
      <c r="AVN21" s="582"/>
      <c r="AVO21" s="582"/>
      <c r="AVP21" s="582"/>
      <c r="AVQ21" s="582"/>
      <c r="AVR21" s="582"/>
      <c r="AVS21" s="582"/>
      <c r="AVT21" s="582"/>
      <c r="AVU21" s="582"/>
      <c r="AVV21" s="582"/>
      <c r="AVW21" s="582"/>
      <c r="AVX21" s="582"/>
      <c r="AVY21" s="582"/>
      <c r="AVZ21" s="582"/>
      <c r="AWA21" s="582"/>
      <c r="AWB21" s="582"/>
      <c r="AWC21" s="582"/>
      <c r="AWD21" s="582"/>
      <c r="AWE21" s="582"/>
      <c r="AWF21" s="582"/>
      <c r="AWG21" s="582"/>
      <c r="AWH21" s="582"/>
      <c r="AWI21" s="582"/>
      <c r="AWJ21" s="582"/>
      <c r="AWK21" s="582"/>
      <c r="AWL21" s="582"/>
      <c r="AWM21" s="582"/>
      <c r="AWN21" s="582"/>
      <c r="AWO21" s="582"/>
      <c r="AWP21" s="582"/>
      <c r="AWQ21" s="582"/>
      <c r="AWR21" s="582"/>
      <c r="AWS21" s="582"/>
      <c r="AWT21" s="582"/>
      <c r="AWU21" s="582"/>
      <c r="AWV21" s="582"/>
      <c r="AWW21" s="582"/>
      <c r="AWX21" s="582"/>
      <c r="AWY21" s="582"/>
      <c r="AWZ21" s="582"/>
      <c r="AXA21" s="582"/>
      <c r="AXB21" s="582"/>
      <c r="AXC21" s="582"/>
      <c r="AXD21" s="582"/>
      <c r="AXE21" s="582"/>
      <c r="AXF21" s="582"/>
      <c r="AXG21" s="582"/>
      <c r="AXH21" s="582"/>
      <c r="AXI21" s="582"/>
      <c r="AXJ21" s="582"/>
      <c r="AXK21" s="582"/>
      <c r="AXL21" s="582"/>
      <c r="AXM21" s="582"/>
      <c r="AXN21" s="582"/>
      <c r="AXO21" s="582"/>
      <c r="AXP21" s="582"/>
      <c r="AXQ21" s="582"/>
      <c r="AXR21" s="582"/>
      <c r="AXS21" s="582"/>
      <c r="AXT21" s="582"/>
      <c r="AXU21" s="582"/>
      <c r="AXV21" s="582"/>
      <c r="AXW21" s="582"/>
      <c r="AXX21" s="582"/>
      <c r="AXY21" s="582"/>
      <c r="AXZ21" s="582"/>
      <c r="AYA21" s="582"/>
      <c r="AYB21" s="582"/>
      <c r="AYC21" s="582"/>
      <c r="AYD21" s="582"/>
      <c r="AYE21" s="582"/>
      <c r="AYF21" s="582"/>
      <c r="AYG21" s="582"/>
      <c r="AYH21" s="582"/>
      <c r="AYI21" s="582"/>
      <c r="AYJ21" s="582"/>
      <c r="AYK21" s="582"/>
      <c r="AYL21" s="582"/>
      <c r="AYM21" s="582"/>
      <c r="AYN21" s="582"/>
      <c r="AYO21" s="582"/>
      <c r="AYP21" s="582"/>
      <c r="AYQ21" s="582"/>
      <c r="AYR21" s="582"/>
      <c r="AYS21" s="582"/>
      <c r="AYT21" s="582"/>
      <c r="AYU21" s="582"/>
      <c r="AYV21" s="582"/>
      <c r="AYW21" s="582"/>
      <c r="AYX21" s="582"/>
      <c r="AYY21" s="582"/>
      <c r="AYZ21" s="582"/>
      <c r="AZA21" s="582"/>
      <c r="AZB21" s="582"/>
      <c r="AZC21" s="582"/>
      <c r="AZD21" s="582"/>
      <c r="AZE21" s="582"/>
      <c r="AZF21" s="582"/>
      <c r="AZG21" s="582"/>
      <c r="AZH21" s="582"/>
      <c r="AZI21" s="582"/>
      <c r="AZJ21" s="582"/>
      <c r="AZK21" s="582"/>
      <c r="AZL21" s="582"/>
      <c r="AZM21" s="582"/>
      <c r="AZN21" s="582"/>
      <c r="AZO21" s="582"/>
      <c r="AZP21" s="582"/>
      <c r="AZQ21" s="582"/>
      <c r="AZR21" s="582"/>
      <c r="AZS21" s="582"/>
      <c r="AZT21" s="582"/>
      <c r="AZU21" s="582"/>
      <c r="AZV21" s="582"/>
      <c r="AZW21" s="582"/>
      <c r="AZX21" s="582"/>
      <c r="AZY21" s="582"/>
      <c r="AZZ21" s="582"/>
      <c r="BAA21" s="582"/>
      <c r="BAB21" s="582"/>
      <c r="BAC21" s="582"/>
      <c r="BAD21" s="582"/>
      <c r="BAE21" s="582"/>
      <c r="BAF21" s="582"/>
      <c r="BAG21" s="582"/>
      <c r="BAH21" s="582"/>
      <c r="BAI21" s="582"/>
      <c r="BAJ21" s="582"/>
      <c r="BAK21" s="582"/>
      <c r="BAL21" s="582"/>
      <c r="BAM21" s="582"/>
      <c r="BAN21" s="582"/>
      <c r="BAO21" s="582"/>
      <c r="BAP21" s="582"/>
      <c r="BAQ21" s="582"/>
      <c r="BAR21" s="582"/>
      <c r="BAS21" s="582"/>
      <c r="BAT21" s="582"/>
      <c r="BAU21" s="582"/>
      <c r="BAV21" s="582"/>
      <c r="BAW21" s="582"/>
      <c r="BAX21" s="582"/>
      <c r="BAY21" s="582"/>
      <c r="BAZ21" s="582"/>
      <c r="BBA21" s="582"/>
      <c r="BBB21" s="582"/>
      <c r="BBC21" s="582"/>
      <c r="BBD21" s="582"/>
      <c r="BBE21" s="582"/>
      <c r="BBF21" s="582"/>
      <c r="BBG21" s="582"/>
      <c r="BBH21" s="582"/>
      <c r="BBI21" s="582"/>
      <c r="BBJ21" s="582"/>
      <c r="BBK21" s="582"/>
      <c r="BBL21" s="582"/>
      <c r="BBM21" s="582"/>
      <c r="BBN21" s="582"/>
      <c r="BBO21" s="582"/>
      <c r="BBP21" s="582"/>
      <c r="BBQ21" s="582"/>
      <c r="BBR21" s="582"/>
      <c r="BBS21" s="582"/>
      <c r="BBT21" s="582"/>
      <c r="BBU21" s="582"/>
      <c r="BBV21" s="582"/>
      <c r="BBW21" s="582"/>
      <c r="BBX21" s="582"/>
      <c r="BBY21" s="582"/>
      <c r="BBZ21" s="582"/>
      <c r="BCA21" s="582"/>
      <c r="BCB21" s="582"/>
      <c r="BCC21" s="582"/>
      <c r="BCD21" s="582"/>
      <c r="BCE21" s="582"/>
      <c r="BCF21" s="582"/>
      <c r="BCG21" s="582"/>
      <c r="BCH21" s="582"/>
      <c r="BCI21" s="582"/>
      <c r="BCJ21" s="582"/>
      <c r="BCK21" s="582"/>
      <c r="BCL21" s="582"/>
      <c r="BCM21" s="582"/>
      <c r="BCN21" s="582"/>
      <c r="BCO21" s="582"/>
      <c r="BCP21" s="582"/>
      <c r="BCQ21" s="582"/>
      <c r="BCR21" s="582"/>
      <c r="BCS21" s="582"/>
      <c r="BCT21" s="582"/>
      <c r="BCU21" s="582"/>
      <c r="BCV21" s="582"/>
      <c r="BCW21" s="582"/>
      <c r="BCX21" s="582"/>
      <c r="BCY21" s="582"/>
      <c r="BCZ21" s="582"/>
      <c r="BDA21" s="582"/>
      <c r="BDB21" s="582"/>
      <c r="BDC21" s="582"/>
      <c r="BDD21" s="582"/>
      <c r="BDE21" s="582"/>
      <c r="BDF21" s="582"/>
      <c r="BDG21" s="582"/>
      <c r="BDH21" s="582"/>
      <c r="BDI21" s="582"/>
      <c r="BDJ21" s="582"/>
      <c r="BDK21" s="582"/>
      <c r="BDL21" s="582"/>
      <c r="BDM21" s="582"/>
      <c r="BDN21" s="582"/>
      <c r="BDO21" s="582"/>
      <c r="BDP21" s="582"/>
      <c r="BDQ21" s="582"/>
      <c r="BDR21" s="582"/>
      <c r="BDS21" s="582"/>
      <c r="BDT21" s="582"/>
      <c r="BDU21" s="582"/>
      <c r="BDV21" s="582"/>
      <c r="BDW21" s="582"/>
      <c r="BDX21" s="582"/>
      <c r="BDY21" s="582"/>
      <c r="BDZ21" s="582"/>
      <c r="BEA21" s="582"/>
      <c r="BEB21" s="582"/>
      <c r="BEC21" s="582"/>
      <c r="BED21" s="582"/>
      <c r="BEE21" s="582"/>
      <c r="BEF21" s="582"/>
      <c r="BEG21" s="582"/>
      <c r="BEH21" s="582"/>
      <c r="BEI21" s="582"/>
      <c r="BEJ21" s="582"/>
      <c r="BEK21" s="582"/>
      <c r="BEL21" s="582"/>
      <c r="BEM21" s="582"/>
      <c r="BEN21" s="582"/>
      <c r="BEO21" s="582"/>
      <c r="BEP21" s="582"/>
      <c r="BEQ21" s="582"/>
      <c r="BER21" s="582"/>
      <c r="BES21" s="582"/>
      <c r="BET21" s="582"/>
      <c r="BEU21" s="582"/>
      <c r="BEV21" s="582"/>
      <c r="BEW21" s="582"/>
      <c r="BEX21" s="582"/>
      <c r="BEY21" s="582"/>
      <c r="BEZ21" s="582"/>
      <c r="BFA21" s="582"/>
      <c r="BFB21" s="582"/>
      <c r="BFC21" s="582"/>
      <c r="BFD21" s="582"/>
      <c r="BFE21" s="582"/>
      <c r="BFF21" s="582"/>
      <c r="BFG21" s="582"/>
      <c r="BFH21" s="582"/>
      <c r="BFI21" s="582"/>
      <c r="BFJ21" s="582"/>
      <c r="BFK21" s="582"/>
      <c r="BFL21" s="582"/>
      <c r="BFM21" s="582"/>
      <c r="BFN21" s="582"/>
      <c r="BFO21" s="582"/>
      <c r="BFP21" s="582"/>
      <c r="BFQ21" s="582"/>
      <c r="BFR21" s="582"/>
      <c r="BFS21" s="582"/>
      <c r="BFT21" s="582"/>
      <c r="BFU21" s="582"/>
      <c r="BFV21" s="582"/>
      <c r="BFW21" s="582"/>
      <c r="BFX21" s="582"/>
      <c r="BFY21" s="582"/>
      <c r="BFZ21" s="582"/>
      <c r="BGA21" s="582"/>
      <c r="BGB21" s="582"/>
      <c r="BGC21" s="582"/>
      <c r="BGD21" s="582"/>
      <c r="BGE21" s="582"/>
      <c r="BGF21" s="582"/>
      <c r="BGG21" s="582"/>
      <c r="BGH21" s="582"/>
      <c r="BGI21" s="582"/>
      <c r="BGJ21" s="582"/>
      <c r="BGK21" s="582"/>
      <c r="BGL21" s="582"/>
      <c r="BGM21" s="582"/>
      <c r="BGN21" s="582"/>
      <c r="BGO21" s="582"/>
      <c r="BGP21" s="582"/>
      <c r="BGQ21" s="582"/>
      <c r="BGR21" s="582"/>
      <c r="BGS21" s="582"/>
      <c r="BGT21" s="582"/>
      <c r="BGU21" s="582"/>
      <c r="BGV21" s="582"/>
      <c r="BGW21" s="582"/>
      <c r="BGX21" s="582"/>
      <c r="BGY21" s="582"/>
      <c r="BGZ21" s="582"/>
      <c r="BHA21" s="582"/>
      <c r="BHB21" s="582"/>
      <c r="BHC21" s="582"/>
      <c r="BHD21" s="582"/>
      <c r="BHE21" s="582"/>
      <c r="BHF21" s="582"/>
      <c r="BHG21" s="582"/>
      <c r="BHH21" s="582"/>
      <c r="BHI21" s="582"/>
      <c r="BHJ21" s="582"/>
      <c r="BHK21" s="582"/>
      <c r="BHL21" s="582"/>
      <c r="BHM21" s="582"/>
      <c r="BHN21" s="582"/>
      <c r="BHO21" s="582"/>
      <c r="BHP21" s="582"/>
      <c r="BHQ21" s="582"/>
      <c r="BHR21" s="582"/>
      <c r="BHS21" s="582"/>
      <c r="BHT21" s="582"/>
      <c r="BHU21" s="582"/>
      <c r="BHV21" s="582"/>
      <c r="BHW21" s="582"/>
      <c r="BHX21" s="582"/>
      <c r="BHY21" s="582"/>
      <c r="BHZ21" s="582"/>
      <c r="BIA21" s="582"/>
      <c r="BIB21" s="582"/>
      <c r="BIC21" s="582"/>
      <c r="BID21" s="582"/>
      <c r="BIE21" s="582"/>
      <c r="BIF21" s="582"/>
      <c r="BIG21" s="582"/>
      <c r="BIH21" s="582"/>
      <c r="BII21" s="582"/>
      <c r="BIJ21" s="582"/>
      <c r="BIK21" s="582"/>
      <c r="BIL21" s="582"/>
      <c r="BIM21" s="582"/>
      <c r="BIN21" s="582"/>
      <c r="BIO21" s="582"/>
      <c r="BIP21" s="582"/>
      <c r="BIQ21" s="582"/>
      <c r="BIR21" s="582"/>
      <c r="BIS21" s="582"/>
      <c r="BIT21" s="582"/>
      <c r="BIU21" s="582"/>
      <c r="BIV21" s="582"/>
      <c r="BIW21" s="582"/>
      <c r="BIX21" s="582"/>
      <c r="BIY21" s="582"/>
      <c r="BIZ21" s="582"/>
      <c r="BJA21" s="582"/>
      <c r="BJB21" s="582"/>
      <c r="BJC21" s="582"/>
      <c r="BJD21" s="582"/>
      <c r="BJE21" s="582"/>
      <c r="BJF21" s="582"/>
      <c r="BJG21" s="582"/>
      <c r="BJH21" s="582"/>
      <c r="BJI21" s="582"/>
      <c r="BJJ21" s="582"/>
      <c r="BJK21" s="582"/>
      <c r="BJL21" s="582"/>
      <c r="BJM21" s="582"/>
      <c r="BJN21" s="582"/>
      <c r="BJO21" s="582"/>
      <c r="BJP21" s="582"/>
      <c r="BJQ21" s="582"/>
      <c r="BJR21" s="582"/>
      <c r="BJS21" s="582"/>
      <c r="BJT21" s="582"/>
      <c r="BJU21" s="582"/>
      <c r="BJV21" s="582"/>
      <c r="BJW21" s="582"/>
      <c r="BJX21" s="582"/>
      <c r="BJY21" s="582"/>
      <c r="BJZ21" s="582"/>
      <c r="BKA21" s="582"/>
      <c r="BKB21" s="582"/>
      <c r="BKC21" s="582"/>
      <c r="BKD21" s="582"/>
      <c r="BKE21" s="582"/>
      <c r="BKF21" s="582"/>
      <c r="BKG21" s="582"/>
      <c r="BKH21" s="582"/>
      <c r="BKI21" s="582"/>
      <c r="BKJ21" s="582"/>
      <c r="BKK21" s="582"/>
      <c r="BKL21" s="582"/>
      <c r="BKM21" s="582"/>
      <c r="BKN21" s="582"/>
      <c r="BKO21" s="582"/>
      <c r="BKP21" s="582"/>
      <c r="BKQ21" s="582"/>
      <c r="BKR21" s="582"/>
      <c r="BKS21" s="582"/>
      <c r="BKT21" s="582"/>
      <c r="BKU21" s="582"/>
      <c r="BKV21" s="582"/>
      <c r="BKW21" s="582"/>
      <c r="BKX21" s="582"/>
      <c r="BKY21" s="582"/>
      <c r="BKZ21" s="582"/>
      <c r="BLA21" s="582"/>
      <c r="BLB21" s="582"/>
      <c r="BLC21" s="582"/>
      <c r="BLD21" s="582"/>
      <c r="BLE21" s="582"/>
      <c r="BLF21" s="582"/>
      <c r="BLG21" s="582"/>
      <c r="BLH21" s="582"/>
      <c r="BLI21" s="582"/>
      <c r="BLJ21" s="582"/>
      <c r="BLK21" s="582"/>
      <c r="BLL21" s="582"/>
      <c r="BLM21" s="582"/>
      <c r="BLN21" s="582"/>
      <c r="BLO21" s="582"/>
      <c r="BLP21" s="582"/>
      <c r="BLQ21" s="582"/>
      <c r="BLR21" s="582"/>
      <c r="BLS21" s="582"/>
      <c r="BLT21" s="582"/>
      <c r="BLU21" s="582"/>
      <c r="BLV21" s="582"/>
      <c r="BLW21" s="582"/>
      <c r="BLX21" s="582"/>
      <c r="BLY21" s="582"/>
      <c r="BLZ21" s="582"/>
      <c r="BMA21" s="582"/>
      <c r="BMB21" s="582"/>
      <c r="BMC21" s="582"/>
      <c r="BMD21" s="582"/>
      <c r="BME21" s="582"/>
      <c r="BMF21" s="582"/>
      <c r="BMG21" s="582"/>
      <c r="BMH21" s="582"/>
      <c r="BMI21" s="582"/>
      <c r="BMJ21" s="582"/>
      <c r="BMK21" s="582"/>
      <c r="BML21" s="582"/>
      <c r="BMM21" s="582"/>
      <c r="BMN21" s="582"/>
      <c r="BMO21" s="582"/>
      <c r="BMP21" s="582"/>
      <c r="BMQ21" s="582"/>
      <c r="BMR21" s="582"/>
      <c r="BMS21" s="582"/>
      <c r="BMT21" s="582"/>
      <c r="BMU21" s="582"/>
      <c r="BMV21" s="582"/>
      <c r="BMW21" s="582"/>
      <c r="BMX21" s="582"/>
      <c r="BMY21" s="582"/>
      <c r="BMZ21" s="582"/>
      <c r="BNA21" s="582"/>
      <c r="BNB21" s="582"/>
      <c r="BNC21" s="582"/>
      <c r="BND21" s="582"/>
      <c r="BNE21" s="582"/>
      <c r="BNF21" s="582"/>
      <c r="BNG21" s="582"/>
      <c r="BNH21" s="582"/>
      <c r="BNI21" s="582"/>
      <c r="BNJ21" s="582"/>
      <c r="BNK21" s="582"/>
      <c r="BNL21" s="582"/>
      <c r="BNM21" s="582"/>
      <c r="BNN21" s="582"/>
      <c r="BNO21" s="582"/>
      <c r="BNP21" s="582"/>
      <c r="BNQ21" s="582"/>
      <c r="BNR21" s="582"/>
      <c r="BNS21" s="582"/>
      <c r="BNT21" s="582"/>
      <c r="BNU21" s="582"/>
      <c r="BNV21" s="582"/>
      <c r="BNW21" s="582"/>
      <c r="BNX21" s="582"/>
      <c r="BNY21" s="582"/>
      <c r="BNZ21" s="582"/>
      <c r="BOA21" s="582"/>
      <c r="BOB21" s="582"/>
      <c r="BOC21" s="582"/>
      <c r="BOD21" s="582"/>
      <c r="BOE21" s="582"/>
      <c r="BOF21" s="582"/>
      <c r="BOG21" s="582"/>
      <c r="BOH21" s="582"/>
      <c r="BOI21" s="582"/>
      <c r="BOJ21" s="582"/>
      <c r="BOK21" s="582"/>
      <c r="BOL21" s="582"/>
      <c r="BOM21" s="582"/>
      <c r="BON21" s="582"/>
      <c r="BOO21" s="582"/>
      <c r="BOP21" s="582"/>
      <c r="BOQ21" s="582"/>
      <c r="BOR21" s="582"/>
      <c r="BOS21" s="582"/>
      <c r="BOT21" s="582"/>
      <c r="BOU21" s="582"/>
      <c r="BOV21" s="582"/>
      <c r="BOW21" s="582"/>
      <c r="BOX21" s="582"/>
      <c r="BOY21" s="582"/>
      <c r="BOZ21" s="582"/>
      <c r="BPA21" s="582"/>
      <c r="BPB21" s="582"/>
      <c r="BPC21" s="582"/>
      <c r="BPD21" s="582"/>
      <c r="BPE21" s="582"/>
      <c r="BPF21" s="582"/>
      <c r="BPG21" s="582"/>
      <c r="BPH21" s="582"/>
      <c r="BPI21" s="582"/>
      <c r="BPJ21" s="582"/>
      <c r="BPK21" s="582"/>
      <c r="BPL21" s="582"/>
      <c r="BPM21" s="582"/>
      <c r="BPN21" s="582"/>
      <c r="BPO21" s="582"/>
      <c r="BPP21" s="582"/>
      <c r="BPQ21" s="582"/>
      <c r="BPR21" s="582"/>
      <c r="BPS21" s="582"/>
      <c r="BPT21" s="582"/>
      <c r="BPU21" s="582"/>
      <c r="BPV21" s="582"/>
      <c r="BPW21" s="582"/>
      <c r="BPX21" s="582"/>
      <c r="BPY21" s="582"/>
      <c r="BPZ21" s="582"/>
      <c r="BQA21" s="582"/>
      <c r="BQB21" s="582"/>
      <c r="BQC21" s="582"/>
      <c r="BQD21" s="582"/>
      <c r="BQE21" s="582"/>
      <c r="BQF21" s="582"/>
      <c r="BQG21" s="582"/>
      <c r="BQH21" s="582"/>
      <c r="BQI21" s="582"/>
      <c r="BQJ21" s="582"/>
      <c r="BQK21" s="582"/>
      <c r="BQL21" s="582"/>
      <c r="BQM21" s="582"/>
      <c r="BQN21" s="582"/>
      <c r="BQO21" s="582"/>
      <c r="BQP21" s="582"/>
      <c r="BQQ21" s="582"/>
      <c r="BQR21" s="582"/>
      <c r="BQS21" s="582"/>
      <c r="BQT21" s="582"/>
      <c r="BQU21" s="582"/>
      <c r="BQV21" s="582"/>
      <c r="BQW21" s="582"/>
      <c r="BQX21" s="582"/>
      <c r="BQY21" s="582"/>
      <c r="BQZ21" s="582"/>
      <c r="BRA21" s="582"/>
      <c r="BRB21" s="582"/>
      <c r="BRC21" s="582"/>
      <c r="BRD21" s="582"/>
      <c r="BRE21" s="582"/>
      <c r="BRF21" s="582"/>
      <c r="BRG21" s="582"/>
      <c r="BRH21" s="582"/>
      <c r="BRI21" s="582"/>
      <c r="BRJ21" s="582"/>
      <c r="BRK21" s="582"/>
      <c r="BRL21" s="582"/>
      <c r="BRM21" s="582"/>
      <c r="BRN21" s="582"/>
      <c r="BRO21" s="582"/>
      <c r="BRP21" s="582"/>
      <c r="BRQ21" s="582"/>
      <c r="BRR21" s="582"/>
      <c r="BRS21" s="582"/>
      <c r="BRT21" s="582"/>
      <c r="BRU21" s="582"/>
      <c r="BRV21" s="582"/>
      <c r="BRW21" s="582"/>
      <c r="BRX21" s="582"/>
      <c r="BRY21" s="582"/>
      <c r="BRZ21" s="582"/>
      <c r="BSA21" s="582"/>
      <c r="BSB21" s="582"/>
      <c r="BSC21" s="582"/>
      <c r="BSD21" s="582"/>
      <c r="BSE21" s="582"/>
      <c r="BSF21" s="582"/>
      <c r="BSG21" s="582"/>
      <c r="BSH21" s="582"/>
      <c r="BSI21" s="582"/>
      <c r="BSJ21" s="582"/>
      <c r="BSK21" s="582"/>
      <c r="BSL21" s="582"/>
      <c r="BSM21" s="582"/>
      <c r="BSN21" s="582"/>
      <c r="BSO21" s="582"/>
      <c r="BSP21" s="582"/>
      <c r="BSQ21" s="582"/>
      <c r="BSR21" s="582"/>
      <c r="BSS21" s="582"/>
      <c r="BST21" s="582"/>
      <c r="BSU21" s="582"/>
      <c r="BSV21" s="582"/>
      <c r="BSW21" s="582"/>
      <c r="BSX21" s="582"/>
      <c r="BSY21" s="582"/>
      <c r="BSZ21" s="582"/>
      <c r="BTA21" s="582"/>
      <c r="BTB21" s="582"/>
      <c r="BTC21" s="582"/>
      <c r="BTD21" s="582"/>
      <c r="BTE21" s="582"/>
      <c r="BTF21" s="582"/>
      <c r="BTG21" s="582"/>
      <c r="BTH21" s="582"/>
      <c r="BTI21" s="582"/>
      <c r="BTJ21" s="582"/>
      <c r="BTK21" s="582"/>
      <c r="BTL21" s="582"/>
      <c r="BTM21" s="582"/>
      <c r="BTN21" s="582"/>
      <c r="BTO21" s="582"/>
      <c r="BTP21" s="582"/>
      <c r="BTQ21" s="582"/>
      <c r="BTR21" s="582"/>
      <c r="BTS21" s="582"/>
      <c r="BTT21" s="582"/>
      <c r="BTU21" s="582"/>
      <c r="BTV21" s="582"/>
      <c r="BTW21" s="582"/>
      <c r="BTX21" s="582"/>
      <c r="BTY21" s="582"/>
      <c r="BTZ21" s="582"/>
      <c r="BUA21" s="582"/>
      <c r="BUB21" s="582"/>
      <c r="BUC21" s="582"/>
      <c r="BUD21" s="582"/>
      <c r="BUE21" s="582"/>
      <c r="BUF21" s="582"/>
      <c r="BUG21" s="582"/>
      <c r="BUH21" s="582"/>
      <c r="BUI21" s="582"/>
      <c r="BUJ21" s="582"/>
      <c r="BUK21" s="582"/>
      <c r="BUL21" s="582"/>
      <c r="BUM21" s="582"/>
      <c r="BUN21" s="582"/>
      <c r="BUO21" s="582"/>
      <c r="BUP21" s="582"/>
      <c r="BUQ21" s="582"/>
      <c r="BUR21" s="582"/>
      <c r="BUS21" s="582"/>
      <c r="BUT21" s="582"/>
      <c r="BUU21" s="582"/>
      <c r="BUV21" s="582"/>
      <c r="BUW21" s="582"/>
      <c r="BUX21" s="582"/>
      <c r="BUY21" s="582"/>
      <c r="BUZ21" s="582"/>
      <c r="BVA21" s="582"/>
      <c r="BVB21" s="582"/>
      <c r="BVC21" s="582"/>
      <c r="BVD21" s="582"/>
      <c r="BVE21" s="582"/>
      <c r="BVF21" s="582"/>
      <c r="BVG21" s="582"/>
      <c r="BVH21" s="582"/>
      <c r="BVI21" s="582"/>
      <c r="BVJ21" s="582"/>
      <c r="BVK21" s="582"/>
      <c r="BVL21" s="582"/>
      <c r="BVM21" s="582"/>
      <c r="BVN21" s="582"/>
      <c r="BVO21" s="582"/>
      <c r="BVP21" s="582"/>
      <c r="BVQ21" s="582"/>
      <c r="BVR21" s="582"/>
      <c r="BVS21" s="582"/>
      <c r="BVT21" s="582"/>
      <c r="BVU21" s="582"/>
      <c r="BVV21" s="582"/>
      <c r="BVW21" s="582"/>
      <c r="BVX21" s="582"/>
      <c r="BVY21" s="582"/>
      <c r="BVZ21" s="582"/>
      <c r="BWA21" s="582"/>
      <c r="BWB21" s="582"/>
      <c r="BWC21" s="582"/>
      <c r="BWD21" s="582"/>
      <c r="BWE21" s="582"/>
      <c r="BWF21" s="582"/>
      <c r="BWG21" s="582"/>
      <c r="BWH21" s="582"/>
      <c r="BWI21" s="582"/>
      <c r="BWJ21" s="582"/>
      <c r="BWK21" s="582"/>
      <c r="BWL21" s="582"/>
      <c r="BWM21" s="582"/>
      <c r="BWN21" s="582"/>
      <c r="BWO21" s="582"/>
      <c r="BWP21" s="582"/>
      <c r="BWQ21" s="582"/>
      <c r="BWR21" s="582"/>
      <c r="BWS21" s="582"/>
      <c r="BWT21" s="582"/>
      <c r="BWU21" s="582"/>
      <c r="BWV21" s="582"/>
      <c r="BWW21" s="582"/>
      <c r="BWX21" s="582"/>
      <c r="BWY21" s="582"/>
      <c r="BWZ21" s="582"/>
      <c r="BXA21" s="582"/>
      <c r="BXB21" s="582"/>
      <c r="BXC21" s="582"/>
      <c r="BXD21" s="582"/>
      <c r="BXE21" s="582"/>
      <c r="BXF21" s="582"/>
      <c r="BXG21" s="582"/>
      <c r="BXH21" s="582"/>
      <c r="BXI21" s="582"/>
      <c r="BXJ21" s="582"/>
      <c r="BXK21" s="582"/>
      <c r="BXL21" s="582"/>
      <c r="BXM21" s="582"/>
      <c r="BXN21" s="582"/>
      <c r="BXO21" s="582"/>
      <c r="BXP21" s="582"/>
      <c r="BXQ21" s="582"/>
      <c r="BXR21" s="582"/>
      <c r="BXS21" s="582"/>
      <c r="BXT21" s="582"/>
      <c r="BXU21" s="582"/>
      <c r="BXV21" s="582"/>
      <c r="BXW21" s="582"/>
      <c r="BXX21" s="582"/>
      <c r="BXY21" s="582"/>
      <c r="BXZ21" s="582"/>
      <c r="BYA21" s="582"/>
      <c r="BYB21" s="582"/>
      <c r="BYC21" s="582"/>
      <c r="BYD21" s="582"/>
      <c r="BYE21" s="582"/>
      <c r="BYF21" s="582"/>
      <c r="BYG21" s="582"/>
      <c r="BYH21" s="582"/>
      <c r="BYI21" s="582"/>
      <c r="BYJ21" s="582"/>
      <c r="BYK21" s="582"/>
      <c r="BYL21" s="582"/>
      <c r="BYM21" s="582"/>
      <c r="BYN21" s="582"/>
      <c r="BYO21" s="582"/>
      <c r="BYP21" s="582"/>
      <c r="BYQ21" s="582"/>
      <c r="BYR21" s="582"/>
      <c r="BYS21" s="582"/>
      <c r="BYT21" s="582"/>
      <c r="BYU21" s="582"/>
      <c r="BYV21" s="582"/>
      <c r="BYW21" s="582"/>
      <c r="BYX21" s="582"/>
      <c r="BYY21" s="582"/>
      <c r="BYZ21" s="582"/>
      <c r="BZA21" s="582"/>
      <c r="BZB21" s="582"/>
      <c r="BZC21" s="582"/>
      <c r="BZD21" s="582"/>
      <c r="BZE21" s="582"/>
      <c r="BZF21" s="582"/>
      <c r="BZG21" s="582"/>
      <c r="BZH21" s="582"/>
      <c r="BZI21" s="582"/>
      <c r="BZJ21" s="582"/>
      <c r="BZK21" s="582"/>
      <c r="BZL21" s="582"/>
      <c r="BZM21" s="582"/>
      <c r="BZN21" s="582"/>
      <c r="BZO21" s="582"/>
      <c r="BZP21" s="582"/>
      <c r="BZQ21" s="582"/>
      <c r="BZR21" s="582"/>
      <c r="BZS21" s="582"/>
      <c r="BZT21" s="582"/>
      <c r="BZU21" s="582"/>
      <c r="BZV21" s="582"/>
      <c r="BZW21" s="582"/>
      <c r="BZX21" s="582"/>
      <c r="BZY21" s="582"/>
      <c r="BZZ21" s="582"/>
      <c r="CAA21" s="582"/>
      <c r="CAB21" s="582"/>
      <c r="CAC21" s="582"/>
      <c r="CAD21" s="582"/>
      <c r="CAE21" s="582"/>
      <c r="CAF21" s="582"/>
      <c r="CAG21" s="582"/>
      <c r="CAH21" s="582"/>
      <c r="CAI21" s="582"/>
      <c r="CAJ21" s="582"/>
      <c r="CAK21" s="582"/>
      <c r="CAL21" s="582"/>
      <c r="CAM21" s="582"/>
      <c r="CAN21" s="582"/>
      <c r="CAO21" s="582"/>
      <c r="CAP21" s="582"/>
      <c r="CAQ21" s="582"/>
      <c r="CAR21" s="582"/>
      <c r="CAS21" s="582"/>
      <c r="CAT21" s="582"/>
      <c r="CAU21" s="582"/>
      <c r="CAV21" s="582"/>
      <c r="CAW21" s="582"/>
      <c r="CAX21" s="582"/>
      <c r="CAY21" s="582"/>
      <c r="CAZ21" s="582"/>
      <c r="CBA21" s="582"/>
      <c r="CBB21" s="582"/>
      <c r="CBC21" s="582"/>
      <c r="CBD21" s="582"/>
      <c r="CBE21" s="582"/>
      <c r="CBF21" s="582"/>
      <c r="CBG21" s="582"/>
      <c r="CBH21" s="582"/>
      <c r="CBI21" s="582"/>
      <c r="CBJ21" s="582"/>
      <c r="CBK21" s="582"/>
      <c r="CBL21" s="582"/>
      <c r="CBM21" s="582"/>
      <c r="CBN21" s="582"/>
      <c r="CBO21" s="582"/>
      <c r="CBP21" s="582"/>
      <c r="CBQ21" s="582"/>
      <c r="CBR21" s="582"/>
      <c r="CBS21" s="582"/>
      <c r="CBT21" s="582"/>
      <c r="CBU21" s="582"/>
      <c r="CBV21" s="582"/>
      <c r="CBW21" s="582"/>
      <c r="CBX21" s="582"/>
      <c r="CBY21" s="582"/>
      <c r="CBZ21" s="582"/>
      <c r="CCA21" s="582"/>
      <c r="CCB21" s="582"/>
      <c r="CCC21" s="582"/>
      <c r="CCD21" s="582"/>
      <c r="CCE21" s="582"/>
      <c r="CCF21" s="582"/>
      <c r="CCG21" s="582"/>
      <c r="CCH21" s="582"/>
      <c r="CCI21" s="582"/>
      <c r="CCJ21" s="582"/>
      <c r="CCK21" s="582"/>
      <c r="CCL21" s="582"/>
      <c r="CCM21" s="582"/>
      <c r="CCN21" s="582"/>
      <c r="CCO21" s="582"/>
      <c r="CCP21" s="582"/>
      <c r="CCQ21" s="582"/>
      <c r="CCR21" s="582"/>
      <c r="CCS21" s="582"/>
      <c r="CCT21" s="582"/>
      <c r="CCU21" s="582"/>
      <c r="CCV21" s="582"/>
      <c r="CCW21" s="582"/>
      <c r="CCX21" s="582"/>
      <c r="CCY21" s="582"/>
      <c r="CCZ21" s="582"/>
      <c r="CDA21" s="582"/>
      <c r="CDB21" s="582"/>
      <c r="CDC21" s="582"/>
      <c r="CDD21" s="582"/>
      <c r="CDE21" s="582"/>
      <c r="CDF21" s="582"/>
      <c r="CDG21" s="582"/>
      <c r="CDH21" s="582"/>
      <c r="CDI21" s="582"/>
      <c r="CDJ21" s="582"/>
      <c r="CDK21" s="582"/>
      <c r="CDL21" s="582"/>
      <c r="CDM21" s="582"/>
      <c r="CDN21" s="582"/>
      <c r="CDO21" s="582"/>
      <c r="CDP21" s="582"/>
      <c r="CDQ21" s="582"/>
      <c r="CDR21" s="582"/>
      <c r="CDS21" s="582"/>
      <c r="CDT21" s="582"/>
      <c r="CDU21" s="582"/>
      <c r="CDV21" s="582"/>
      <c r="CDW21" s="582"/>
      <c r="CDX21" s="582"/>
      <c r="CDY21" s="582"/>
      <c r="CDZ21" s="582"/>
      <c r="CEA21" s="582"/>
      <c r="CEB21" s="582"/>
      <c r="CEC21" s="582"/>
      <c r="CED21" s="582"/>
      <c r="CEE21" s="582"/>
      <c r="CEF21" s="582"/>
      <c r="CEG21" s="582"/>
      <c r="CEH21" s="582"/>
      <c r="CEI21" s="582"/>
      <c r="CEJ21" s="582"/>
      <c r="CEK21" s="582"/>
      <c r="CEL21" s="582"/>
      <c r="CEM21" s="582"/>
      <c r="CEN21" s="582"/>
      <c r="CEO21" s="582"/>
      <c r="CEP21" s="582"/>
      <c r="CEQ21" s="582"/>
      <c r="CER21" s="582"/>
      <c r="CES21" s="582"/>
      <c r="CET21" s="582"/>
      <c r="CEU21" s="582"/>
      <c r="CEV21" s="582"/>
      <c r="CEW21" s="582"/>
      <c r="CEX21" s="582"/>
      <c r="CEY21" s="582"/>
      <c r="CEZ21" s="582"/>
      <c r="CFA21" s="582"/>
      <c r="CFB21" s="582"/>
      <c r="CFC21" s="582"/>
      <c r="CFD21" s="582"/>
      <c r="CFE21" s="582"/>
      <c r="CFF21" s="582"/>
      <c r="CFG21" s="582"/>
      <c r="CFH21" s="582"/>
      <c r="CFI21" s="582"/>
      <c r="CFJ21" s="582"/>
      <c r="CFK21" s="582"/>
      <c r="CFL21" s="582"/>
      <c r="CFM21" s="582"/>
      <c r="CFN21" s="582"/>
      <c r="CFO21" s="582"/>
      <c r="CFP21" s="582"/>
      <c r="CFQ21" s="582"/>
      <c r="CFR21" s="582"/>
      <c r="CFS21" s="582"/>
      <c r="CFT21" s="582"/>
      <c r="CFU21" s="582"/>
      <c r="CFV21" s="582"/>
      <c r="CFW21" s="582"/>
      <c r="CFX21" s="582"/>
      <c r="CFY21" s="582"/>
      <c r="CFZ21" s="582"/>
      <c r="CGA21" s="582"/>
      <c r="CGB21" s="582"/>
      <c r="CGC21" s="582"/>
      <c r="CGD21" s="582"/>
      <c r="CGE21" s="582"/>
      <c r="CGF21" s="582"/>
      <c r="CGG21" s="582"/>
      <c r="CGH21" s="582"/>
      <c r="CGI21" s="582"/>
      <c r="CGJ21" s="582"/>
      <c r="CGK21" s="582"/>
      <c r="CGL21" s="582"/>
      <c r="CGM21" s="582"/>
      <c r="CGN21" s="582"/>
      <c r="CGO21" s="582"/>
      <c r="CGP21" s="582"/>
      <c r="CGQ21" s="582"/>
      <c r="CGR21" s="582"/>
      <c r="CGS21" s="582"/>
      <c r="CGT21" s="582"/>
      <c r="CGU21" s="582"/>
      <c r="CGV21" s="582"/>
      <c r="CGW21" s="582"/>
      <c r="CGX21" s="582"/>
      <c r="CGY21" s="582"/>
      <c r="CGZ21" s="582"/>
      <c r="CHA21" s="582"/>
      <c r="CHB21" s="582"/>
      <c r="CHC21" s="582"/>
      <c r="CHD21" s="582"/>
      <c r="CHE21" s="582"/>
      <c r="CHF21" s="582"/>
      <c r="CHG21" s="582"/>
      <c r="CHH21" s="582"/>
      <c r="CHI21" s="582"/>
      <c r="CHJ21" s="582"/>
      <c r="CHK21" s="582"/>
      <c r="CHL21" s="582"/>
      <c r="CHM21" s="582"/>
      <c r="CHN21" s="582"/>
      <c r="CHO21" s="582"/>
      <c r="CHP21" s="582"/>
      <c r="CHQ21" s="582"/>
      <c r="CHR21" s="582"/>
      <c r="CHS21" s="582"/>
      <c r="CHT21" s="582"/>
      <c r="CHU21" s="582"/>
      <c r="CHV21" s="582"/>
      <c r="CHW21" s="582"/>
      <c r="CHX21" s="582"/>
      <c r="CHY21" s="582"/>
      <c r="CHZ21" s="582"/>
      <c r="CIA21" s="582"/>
      <c r="CIB21" s="582"/>
      <c r="CIC21" s="582"/>
      <c r="CID21" s="582"/>
      <c r="CIE21" s="582"/>
      <c r="CIF21" s="582"/>
      <c r="CIG21" s="582"/>
      <c r="CIH21" s="582"/>
      <c r="CII21" s="582"/>
      <c r="CIJ21" s="582"/>
      <c r="CIK21" s="582"/>
      <c r="CIL21" s="582"/>
      <c r="CIM21" s="582"/>
      <c r="CIN21" s="582"/>
      <c r="CIO21" s="582"/>
      <c r="CIP21" s="582"/>
      <c r="CIQ21" s="582"/>
      <c r="CIR21" s="582"/>
      <c r="CIS21" s="582"/>
      <c r="CIT21" s="582"/>
      <c r="CIU21" s="582"/>
      <c r="CIV21" s="582"/>
      <c r="CIW21" s="582"/>
      <c r="CIX21" s="582"/>
      <c r="CIY21" s="582"/>
      <c r="CIZ21" s="582"/>
      <c r="CJA21" s="582"/>
      <c r="CJB21" s="582"/>
      <c r="CJC21" s="582"/>
      <c r="CJD21" s="582"/>
      <c r="CJE21" s="582"/>
      <c r="CJF21" s="582"/>
      <c r="CJG21" s="582"/>
      <c r="CJH21" s="582"/>
      <c r="CJI21" s="582"/>
      <c r="CJJ21" s="582"/>
      <c r="CJK21" s="582"/>
      <c r="CJL21" s="582"/>
      <c r="CJM21" s="582"/>
      <c r="CJN21" s="582"/>
      <c r="CJO21" s="582"/>
      <c r="CJP21" s="582"/>
      <c r="CJQ21" s="582"/>
      <c r="CJR21" s="582"/>
      <c r="CJS21" s="582"/>
      <c r="CJT21" s="582"/>
      <c r="CJU21" s="582"/>
      <c r="CJV21" s="582"/>
      <c r="CJW21" s="582"/>
      <c r="CJX21" s="582"/>
      <c r="CJY21" s="582"/>
      <c r="CJZ21" s="582"/>
      <c r="CKA21" s="582"/>
      <c r="CKB21" s="582"/>
      <c r="CKC21" s="582"/>
      <c r="CKD21" s="582"/>
      <c r="CKE21" s="582"/>
      <c r="CKF21" s="582"/>
      <c r="CKG21" s="582"/>
      <c r="CKH21" s="582"/>
      <c r="CKI21" s="582"/>
      <c r="CKJ21" s="582"/>
      <c r="CKK21" s="582"/>
      <c r="CKL21" s="582"/>
      <c r="CKM21" s="582"/>
      <c r="CKN21" s="582"/>
      <c r="CKO21" s="582"/>
      <c r="CKP21" s="582"/>
      <c r="CKQ21" s="582"/>
      <c r="CKR21" s="582"/>
      <c r="CKS21" s="582"/>
      <c r="CKT21" s="582"/>
      <c r="CKU21" s="582"/>
      <c r="CKV21" s="582"/>
      <c r="CKW21" s="582"/>
      <c r="CKX21" s="582"/>
      <c r="CKY21" s="582"/>
      <c r="CKZ21" s="582"/>
      <c r="CLA21" s="582"/>
      <c r="CLB21" s="582"/>
      <c r="CLC21" s="582"/>
      <c r="CLD21" s="582"/>
      <c r="CLE21" s="582"/>
      <c r="CLF21" s="582"/>
      <c r="CLG21" s="582"/>
      <c r="CLH21" s="582"/>
      <c r="CLI21" s="582"/>
      <c r="CLJ21" s="582"/>
      <c r="CLK21" s="582"/>
      <c r="CLL21" s="582"/>
      <c r="CLM21" s="582"/>
      <c r="CLN21" s="582"/>
      <c r="CLO21" s="582"/>
      <c r="CLP21" s="582"/>
      <c r="CLQ21" s="582"/>
      <c r="CLR21" s="582"/>
      <c r="CLS21" s="582"/>
      <c r="CLT21" s="582"/>
      <c r="CLU21" s="582"/>
      <c r="CLV21" s="582"/>
      <c r="CLW21" s="582"/>
      <c r="CLX21" s="582"/>
      <c r="CLY21" s="582"/>
      <c r="CLZ21" s="582"/>
      <c r="CMA21" s="582"/>
      <c r="CMB21" s="582"/>
      <c r="CMC21" s="582"/>
      <c r="CMD21" s="582"/>
      <c r="CME21" s="582"/>
      <c r="CMF21" s="582"/>
      <c r="CMG21" s="582"/>
      <c r="CMH21" s="582"/>
      <c r="CMI21" s="582"/>
      <c r="CMJ21" s="582"/>
      <c r="CMK21" s="582"/>
      <c r="CML21" s="582"/>
      <c r="CMM21" s="582"/>
      <c r="CMN21" s="582"/>
      <c r="CMO21" s="582"/>
      <c r="CMP21" s="582"/>
      <c r="CMQ21" s="582"/>
      <c r="CMR21" s="582"/>
      <c r="CMS21" s="582"/>
      <c r="CMT21" s="582"/>
      <c r="CMU21" s="582"/>
      <c r="CMV21" s="582"/>
      <c r="CMW21" s="582"/>
      <c r="CMX21" s="582"/>
      <c r="CMY21" s="582"/>
      <c r="CMZ21" s="582"/>
      <c r="CNA21" s="582"/>
      <c r="CNB21" s="582"/>
      <c r="CNC21" s="582"/>
      <c r="CND21" s="582"/>
      <c r="CNE21" s="582"/>
      <c r="CNF21" s="582"/>
      <c r="CNG21" s="582"/>
      <c r="CNH21" s="582"/>
      <c r="CNI21" s="582"/>
      <c r="CNJ21" s="582"/>
      <c r="CNK21" s="582"/>
      <c r="CNL21" s="582"/>
      <c r="CNM21" s="582"/>
      <c r="CNN21" s="582"/>
      <c r="CNO21" s="582"/>
      <c r="CNP21" s="582"/>
      <c r="CNQ21" s="582"/>
      <c r="CNR21" s="582"/>
      <c r="CNS21" s="582"/>
      <c r="CNT21" s="582"/>
      <c r="CNU21" s="582"/>
      <c r="CNV21" s="582"/>
      <c r="CNW21" s="582"/>
      <c r="CNX21" s="582"/>
      <c r="CNY21" s="582"/>
      <c r="CNZ21" s="582"/>
      <c r="COA21" s="582"/>
      <c r="COB21" s="582"/>
      <c r="COC21" s="582"/>
      <c r="COD21" s="582"/>
      <c r="COE21" s="582"/>
      <c r="COF21" s="582"/>
      <c r="COG21" s="582"/>
      <c r="COH21" s="582"/>
      <c r="COI21" s="582"/>
      <c r="COJ21" s="582"/>
      <c r="COK21" s="582"/>
      <c r="COL21" s="582"/>
      <c r="COM21" s="582"/>
      <c r="CON21" s="582"/>
      <c r="COO21" s="582"/>
      <c r="COP21" s="582"/>
      <c r="COQ21" s="582"/>
      <c r="COR21" s="582"/>
      <c r="COS21" s="582"/>
      <c r="COT21" s="582"/>
      <c r="COU21" s="582"/>
      <c r="COV21" s="582"/>
      <c r="COW21" s="582"/>
      <c r="COX21" s="582"/>
      <c r="COY21" s="582"/>
      <c r="COZ21" s="582"/>
      <c r="CPA21" s="582"/>
      <c r="CPB21" s="582"/>
      <c r="CPC21" s="582"/>
      <c r="CPD21" s="582"/>
      <c r="CPE21" s="582"/>
      <c r="CPF21" s="582"/>
      <c r="CPG21" s="582"/>
      <c r="CPH21" s="582"/>
      <c r="CPI21" s="582"/>
      <c r="CPJ21" s="582"/>
      <c r="CPK21" s="582"/>
      <c r="CPL21" s="582"/>
      <c r="CPM21" s="582"/>
      <c r="CPN21" s="582"/>
      <c r="CPO21" s="582"/>
      <c r="CPP21" s="582"/>
      <c r="CPQ21" s="582"/>
      <c r="CPR21" s="582"/>
      <c r="CPS21" s="582"/>
      <c r="CPT21" s="582"/>
      <c r="CPU21" s="582"/>
      <c r="CPV21" s="582"/>
      <c r="CPW21" s="582"/>
      <c r="CPX21" s="582"/>
      <c r="CPY21" s="582"/>
      <c r="CPZ21" s="582"/>
      <c r="CQA21" s="582"/>
      <c r="CQB21" s="582"/>
      <c r="CQC21" s="582"/>
      <c r="CQD21" s="582"/>
      <c r="CQE21" s="582"/>
      <c r="CQF21" s="582"/>
      <c r="CQG21" s="582"/>
      <c r="CQH21" s="582"/>
      <c r="CQI21" s="582"/>
      <c r="CQJ21" s="582"/>
      <c r="CQK21" s="582"/>
      <c r="CQL21" s="582"/>
      <c r="CQM21" s="582"/>
      <c r="CQN21" s="582"/>
      <c r="CQO21" s="582"/>
      <c r="CQP21" s="582"/>
      <c r="CQQ21" s="582"/>
      <c r="CQR21" s="582"/>
      <c r="CQS21" s="582"/>
      <c r="CQT21" s="582"/>
      <c r="CQU21" s="582"/>
      <c r="CQV21" s="582"/>
      <c r="CQW21" s="582"/>
      <c r="CQX21" s="582"/>
      <c r="CQY21" s="582"/>
      <c r="CQZ21" s="582"/>
      <c r="CRA21" s="582"/>
      <c r="CRB21" s="582"/>
      <c r="CRC21" s="582"/>
      <c r="CRD21" s="582"/>
      <c r="CRE21" s="582"/>
      <c r="CRF21" s="582"/>
      <c r="CRG21" s="582"/>
      <c r="CRH21" s="582"/>
      <c r="CRI21" s="582"/>
      <c r="CRJ21" s="582"/>
      <c r="CRK21" s="582"/>
      <c r="CRL21" s="582"/>
      <c r="CRM21" s="582"/>
      <c r="CRN21" s="582"/>
      <c r="CRO21" s="582"/>
      <c r="CRP21" s="582"/>
      <c r="CRQ21" s="582"/>
      <c r="CRR21" s="582"/>
      <c r="CRS21" s="582"/>
      <c r="CRT21" s="582"/>
      <c r="CRU21" s="582"/>
      <c r="CRV21" s="582"/>
      <c r="CRW21" s="582"/>
      <c r="CRX21" s="582"/>
      <c r="CRY21" s="582"/>
      <c r="CRZ21" s="582"/>
      <c r="CSA21" s="582"/>
      <c r="CSB21" s="582"/>
      <c r="CSC21" s="582"/>
      <c r="CSD21" s="582"/>
      <c r="CSE21" s="582"/>
      <c r="CSF21" s="582"/>
      <c r="CSG21" s="582"/>
      <c r="CSH21" s="582"/>
      <c r="CSI21" s="582"/>
      <c r="CSJ21" s="582"/>
      <c r="CSK21" s="582"/>
      <c r="CSL21" s="582"/>
      <c r="CSM21" s="582"/>
      <c r="CSN21" s="582"/>
      <c r="CSO21" s="582"/>
      <c r="CSP21" s="582"/>
      <c r="CSQ21" s="582"/>
      <c r="CSR21" s="582"/>
      <c r="CSS21" s="582"/>
      <c r="CST21" s="582"/>
      <c r="CSU21" s="582"/>
      <c r="CSV21" s="582"/>
      <c r="CSW21" s="582"/>
      <c r="CSX21" s="582"/>
      <c r="CSY21" s="582"/>
      <c r="CSZ21" s="582"/>
      <c r="CTA21" s="582"/>
      <c r="CTB21" s="582"/>
      <c r="CTC21" s="582"/>
      <c r="CTD21" s="582"/>
      <c r="CTE21" s="582"/>
      <c r="CTF21" s="582"/>
      <c r="CTG21" s="582"/>
      <c r="CTH21" s="582"/>
      <c r="CTI21" s="582"/>
      <c r="CTJ21" s="582"/>
      <c r="CTK21" s="582"/>
      <c r="CTL21" s="582"/>
      <c r="CTM21" s="582"/>
      <c r="CTN21" s="582"/>
      <c r="CTO21" s="582"/>
      <c r="CTP21" s="582"/>
      <c r="CTQ21" s="582"/>
      <c r="CTR21" s="582"/>
      <c r="CTS21" s="582"/>
      <c r="CTT21" s="582"/>
      <c r="CTU21" s="582"/>
      <c r="CTV21" s="582"/>
      <c r="CTW21" s="582"/>
      <c r="CTX21" s="582"/>
      <c r="CTY21" s="582"/>
      <c r="CTZ21" s="582"/>
      <c r="CUA21" s="582"/>
      <c r="CUB21" s="582"/>
      <c r="CUC21" s="582"/>
      <c r="CUD21" s="582"/>
      <c r="CUE21" s="582"/>
      <c r="CUF21" s="582"/>
      <c r="CUG21" s="582"/>
      <c r="CUH21" s="582"/>
      <c r="CUI21" s="582"/>
      <c r="CUJ21" s="582"/>
      <c r="CUK21" s="582"/>
      <c r="CUL21" s="582"/>
      <c r="CUM21" s="582"/>
      <c r="CUN21" s="582"/>
      <c r="CUO21" s="582"/>
      <c r="CUP21" s="582"/>
      <c r="CUQ21" s="582"/>
      <c r="CUR21" s="582"/>
      <c r="CUS21" s="582"/>
      <c r="CUT21" s="582"/>
      <c r="CUU21" s="582"/>
      <c r="CUV21" s="582"/>
      <c r="CUW21" s="582"/>
      <c r="CUX21" s="582"/>
      <c r="CUY21" s="582"/>
      <c r="CUZ21" s="582"/>
      <c r="CVA21" s="582"/>
      <c r="CVB21" s="582"/>
      <c r="CVC21" s="582"/>
      <c r="CVD21" s="582"/>
      <c r="CVE21" s="582"/>
      <c r="CVF21" s="582"/>
      <c r="CVG21" s="582"/>
      <c r="CVH21" s="582"/>
      <c r="CVI21" s="582"/>
      <c r="CVJ21" s="582"/>
      <c r="CVK21" s="582"/>
      <c r="CVL21" s="582"/>
      <c r="CVM21" s="582"/>
      <c r="CVN21" s="582"/>
      <c r="CVO21" s="582"/>
      <c r="CVP21" s="582"/>
      <c r="CVQ21" s="582"/>
      <c r="CVR21" s="582"/>
      <c r="CVS21" s="582"/>
      <c r="CVT21" s="582"/>
      <c r="CVU21" s="582"/>
      <c r="CVV21" s="582"/>
      <c r="CVW21" s="582"/>
      <c r="CVX21" s="582"/>
      <c r="CVY21" s="582"/>
      <c r="CVZ21" s="582"/>
      <c r="CWA21" s="582"/>
      <c r="CWB21" s="582"/>
      <c r="CWC21" s="582"/>
      <c r="CWD21" s="582"/>
      <c r="CWE21" s="582"/>
      <c r="CWF21" s="582"/>
      <c r="CWG21" s="582"/>
      <c r="CWH21" s="582"/>
      <c r="CWI21" s="582"/>
      <c r="CWJ21" s="582"/>
      <c r="CWK21" s="582"/>
      <c r="CWL21" s="582"/>
      <c r="CWM21" s="582"/>
      <c r="CWN21" s="582"/>
      <c r="CWO21" s="582"/>
      <c r="CWP21" s="582"/>
      <c r="CWQ21" s="582"/>
      <c r="CWR21" s="582"/>
      <c r="CWS21" s="582"/>
      <c r="CWT21" s="582"/>
      <c r="CWU21" s="582"/>
      <c r="CWV21" s="582"/>
      <c r="CWW21" s="582"/>
      <c r="CWX21" s="582"/>
      <c r="CWY21" s="582"/>
      <c r="CWZ21" s="582"/>
      <c r="CXA21" s="582"/>
      <c r="CXB21" s="582"/>
      <c r="CXC21" s="582"/>
      <c r="CXD21" s="582"/>
      <c r="CXE21" s="582"/>
      <c r="CXF21" s="582"/>
      <c r="CXG21" s="582"/>
      <c r="CXH21" s="582"/>
      <c r="CXI21" s="582"/>
      <c r="CXJ21" s="582"/>
      <c r="CXK21" s="582"/>
      <c r="CXL21" s="582"/>
      <c r="CXM21" s="582"/>
      <c r="CXN21" s="582"/>
      <c r="CXO21" s="582"/>
      <c r="CXP21" s="582"/>
      <c r="CXQ21" s="582"/>
      <c r="CXR21" s="582"/>
      <c r="CXS21" s="582"/>
      <c r="CXT21" s="582"/>
      <c r="CXU21" s="582"/>
      <c r="CXV21" s="582"/>
      <c r="CXW21" s="582"/>
      <c r="CXX21" s="582"/>
      <c r="CXY21" s="582"/>
      <c r="CXZ21" s="582"/>
      <c r="CYA21" s="582"/>
      <c r="CYB21" s="582"/>
      <c r="CYC21" s="582"/>
      <c r="CYD21" s="582"/>
      <c r="CYE21" s="582"/>
      <c r="CYF21" s="582"/>
      <c r="CYG21" s="582"/>
      <c r="CYH21" s="582"/>
      <c r="CYI21" s="582"/>
      <c r="CYJ21" s="582"/>
      <c r="CYK21" s="582"/>
      <c r="CYL21" s="582"/>
      <c r="CYM21" s="582"/>
      <c r="CYN21" s="582"/>
      <c r="CYO21" s="582"/>
      <c r="CYP21" s="582"/>
      <c r="CYQ21" s="582"/>
      <c r="CYR21" s="582"/>
      <c r="CYS21" s="582"/>
      <c r="CYT21" s="582"/>
      <c r="CYU21" s="582"/>
      <c r="CYV21" s="582"/>
      <c r="CYW21" s="582"/>
      <c r="CYX21" s="582"/>
      <c r="CYY21" s="582"/>
      <c r="CYZ21" s="582"/>
      <c r="CZA21" s="582"/>
      <c r="CZB21" s="582"/>
      <c r="CZC21" s="582"/>
      <c r="CZD21" s="582"/>
      <c r="CZE21" s="582"/>
      <c r="CZF21" s="582"/>
      <c r="CZG21" s="582"/>
      <c r="CZH21" s="582"/>
      <c r="CZI21" s="582"/>
      <c r="CZJ21" s="582"/>
      <c r="CZK21" s="582"/>
      <c r="CZL21" s="582"/>
      <c r="CZM21" s="582"/>
      <c r="CZN21" s="582"/>
      <c r="CZO21" s="582"/>
      <c r="CZP21" s="582"/>
      <c r="CZQ21" s="582"/>
      <c r="CZR21" s="582"/>
      <c r="CZS21" s="582"/>
      <c r="CZT21" s="582"/>
      <c r="CZU21" s="582"/>
      <c r="CZV21" s="582"/>
      <c r="CZW21" s="582"/>
      <c r="CZX21" s="582"/>
      <c r="CZY21" s="582"/>
      <c r="CZZ21" s="582"/>
      <c r="DAA21" s="582"/>
      <c r="DAB21" s="582"/>
      <c r="DAC21" s="582"/>
      <c r="DAD21" s="582"/>
      <c r="DAE21" s="582"/>
      <c r="DAF21" s="582"/>
      <c r="DAG21" s="582"/>
      <c r="DAH21" s="582"/>
      <c r="DAI21" s="582"/>
      <c r="DAJ21" s="582"/>
      <c r="DAK21" s="582"/>
      <c r="DAL21" s="582"/>
      <c r="DAM21" s="582"/>
      <c r="DAN21" s="582"/>
      <c r="DAO21" s="582"/>
      <c r="DAP21" s="582"/>
      <c r="DAQ21" s="582"/>
      <c r="DAR21" s="582"/>
      <c r="DAS21" s="582"/>
      <c r="DAT21" s="582"/>
      <c r="DAU21" s="582"/>
      <c r="DAV21" s="582"/>
      <c r="DAW21" s="582"/>
      <c r="DAX21" s="582"/>
      <c r="DAY21" s="582"/>
      <c r="DAZ21" s="582"/>
      <c r="DBA21" s="582"/>
      <c r="DBB21" s="582"/>
      <c r="DBC21" s="582"/>
      <c r="DBD21" s="582"/>
      <c r="DBE21" s="582"/>
      <c r="DBF21" s="582"/>
      <c r="DBG21" s="582"/>
      <c r="DBH21" s="582"/>
      <c r="DBI21" s="582"/>
      <c r="DBJ21" s="582"/>
      <c r="DBK21" s="582"/>
      <c r="DBL21" s="582"/>
      <c r="DBM21" s="582"/>
      <c r="DBN21" s="582"/>
      <c r="DBO21" s="582"/>
      <c r="DBP21" s="582"/>
      <c r="DBQ21" s="582"/>
      <c r="DBR21" s="582"/>
      <c r="DBS21" s="582"/>
      <c r="DBT21" s="582"/>
      <c r="DBU21" s="582"/>
      <c r="DBV21" s="582"/>
      <c r="DBW21" s="582"/>
      <c r="DBX21" s="582"/>
      <c r="DBY21" s="582"/>
      <c r="DBZ21" s="582"/>
      <c r="DCA21" s="582"/>
      <c r="DCB21" s="582"/>
      <c r="DCC21" s="582"/>
      <c r="DCD21" s="582"/>
      <c r="DCE21" s="582"/>
      <c r="DCF21" s="582"/>
      <c r="DCG21" s="582"/>
      <c r="DCH21" s="582"/>
      <c r="DCI21" s="582"/>
      <c r="DCJ21" s="582"/>
      <c r="DCK21" s="582"/>
      <c r="DCL21" s="582"/>
      <c r="DCM21" s="582"/>
      <c r="DCN21" s="582"/>
      <c r="DCO21" s="582"/>
      <c r="DCP21" s="582"/>
      <c r="DCQ21" s="582"/>
      <c r="DCR21" s="582"/>
      <c r="DCS21" s="582"/>
      <c r="DCT21" s="582"/>
      <c r="DCU21" s="582"/>
      <c r="DCV21" s="582"/>
      <c r="DCW21" s="582"/>
      <c r="DCX21" s="582"/>
      <c r="DCY21" s="582"/>
      <c r="DCZ21" s="582"/>
      <c r="DDA21" s="582"/>
      <c r="DDB21" s="582"/>
      <c r="DDC21" s="582"/>
      <c r="DDD21" s="582"/>
      <c r="DDE21" s="582"/>
      <c r="DDF21" s="582"/>
      <c r="DDG21" s="582"/>
      <c r="DDH21" s="582"/>
      <c r="DDI21" s="582"/>
      <c r="DDJ21" s="582"/>
      <c r="DDK21" s="582"/>
      <c r="DDL21" s="582"/>
      <c r="DDM21" s="582"/>
      <c r="DDN21" s="582"/>
      <c r="DDO21" s="582"/>
      <c r="DDP21" s="582"/>
      <c r="DDQ21" s="582"/>
      <c r="DDR21" s="582"/>
      <c r="DDS21" s="582"/>
      <c r="DDT21" s="582"/>
      <c r="DDU21" s="582"/>
      <c r="DDV21" s="582"/>
      <c r="DDW21" s="582"/>
      <c r="DDX21" s="582"/>
      <c r="DDY21" s="582"/>
      <c r="DDZ21" s="582"/>
      <c r="DEA21" s="582"/>
      <c r="DEB21" s="582"/>
      <c r="DEC21" s="582"/>
      <c r="DED21" s="582"/>
      <c r="DEE21" s="582"/>
      <c r="DEF21" s="582"/>
      <c r="DEG21" s="582"/>
      <c r="DEH21" s="582"/>
      <c r="DEI21" s="582"/>
      <c r="DEJ21" s="582"/>
      <c r="DEK21" s="582"/>
      <c r="DEL21" s="582"/>
      <c r="DEM21" s="582"/>
      <c r="DEN21" s="582"/>
      <c r="DEO21" s="582"/>
      <c r="DEP21" s="582"/>
      <c r="DEQ21" s="582"/>
      <c r="DER21" s="582"/>
      <c r="DES21" s="582"/>
      <c r="DET21" s="582"/>
      <c r="DEU21" s="582"/>
      <c r="DEV21" s="582"/>
      <c r="DEW21" s="582"/>
      <c r="DEX21" s="582"/>
      <c r="DEY21" s="582"/>
      <c r="DEZ21" s="582"/>
      <c r="DFA21" s="582"/>
      <c r="DFB21" s="582"/>
      <c r="DFC21" s="582"/>
      <c r="DFD21" s="582"/>
      <c r="DFE21" s="582"/>
      <c r="DFF21" s="582"/>
      <c r="DFG21" s="582"/>
      <c r="DFH21" s="582"/>
      <c r="DFI21" s="582"/>
      <c r="DFJ21" s="582"/>
      <c r="DFK21" s="582"/>
      <c r="DFL21" s="582"/>
      <c r="DFM21" s="582"/>
      <c r="DFN21" s="582"/>
      <c r="DFO21" s="582"/>
      <c r="DFP21" s="582"/>
      <c r="DFQ21" s="582"/>
      <c r="DFR21" s="582"/>
      <c r="DFS21" s="582"/>
      <c r="DFT21" s="582"/>
      <c r="DFU21" s="582"/>
      <c r="DFV21" s="582"/>
      <c r="DFW21" s="582"/>
      <c r="DFX21" s="582"/>
      <c r="DFY21" s="582"/>
      <c r="DFZ21" s="582"/>
      <c r="DGA21" s="582"/>
      <c r="DGB21" s="582"/>
      <c r="DGC21" s="582"/>
      <c r="DGD21" s="582"/>
      <c r="DGE21" s="582"/>
      <c r="DGF21" s="582"/>
      <c r="DGG21" s="582"/>
      <c r="DGH21" s="582"/>
      <c r="DGI21" s="582"/>
      <c r="DGJ21" s="582"/>
      <c r="DGK21" s="582"/>
      <c r="DGL21" s="582"/>
      <c r="DGM21" s="582"/>
      <c r="DGN21" s="582"/>
      <c r="DGO21" s="582"/>
      <c r="DGP21" s="582"/>
      <c r="DGQ21" s="582"/>
      <c r="DGR21" s="582"/>
      <c r="DGS21" s="582"/>
      <c r="DGT21" s="582"/>
      <c r="DGU21" s="582"/>
      <c r="DGV21" s="582"/>
      <c r="DGW21" s="582"/>
      <c r="DGX21" s="582"/>
      <c r="DGY21" s="582"/>
      <c r="DGZ21" s="582"/>
      <c r="DHA21" s="582"/>
      <c r="DHB21" s="582"/>
      <c r="DHC21" s="582"/>
      <c r="DHD21" s="582"/>
      <c r="DHE21" s="582"/>
      <c r="DHF21" s="582"/>
      <c r="DHG21" s="582"/>
      <c r="DHH21" s="582"/>
      <c r="DHI21" s="582"/>
      <c r="DHJ21" s="582"/>
      <c r="DHK21" s="582"/>
      <c r="DHL21" s="582"/>
      <c r="DHM21" s="582"/>
      <c r="DHN21" s="582"/>
      <c r="DHO21" s="582"/>
      <c r="DHP21" s="582"/>
      <c r="DHQ21" s="582"/>
      <c r="DHR21" s="582"/>
      <c r="DHS21" s="582"/>
      <c r="DHT21" s="582"/>
      <c r="DHU21" s="582"/>
      <c r="DHV21" s="582"/>
      <c r="DHW21" s="582"/>
      <c r="DHX21" s="582"/>
      <c r="DHY21" s="582"/>
      <c r="DHZ21" s="582"/>
      <c r="DIA21" s="582"/>
      <c r="DIB21" s="582"/>
      <c r="DIC21" s="582"/>
      <c r="DID21" s="582"/>
      <c r="DIE21" s="582"/>
      <c r="DIF21" s="582"/>
      <c r="DIG21" s="582"/>
      <c r="DIH21" s="582"/>
      <c r="DII21" s="582"/>
      <c r="DIJ21" s="582"/>
      <c r="DIK21" s="582"/>
      <c r="DIL21" s="582"/>
      <c r="DIM21" s="582"/>
      <c r="DIN21" s="582"/>
      <c r="DIO21" s="582"/>
      <c r="DIP21" s="582"/>
      <c r="DIQ21" s="582"/>
      <c r="DIR21" s="582"/>
      <c r="DIS21" s="582"/>
      <c r="DIT21" s="582"/>
      <c r="DIU21" s="582"/>
      <c r="DIV21" s="582"/>
      <c r="DIW21" s="582"/>
      <c r="DIX21" s="582"/>
      <c r="DIY21" s="582"/>
      <c r="DIZ21" s="582"/>
      <c r="DJA21" s="582"/>
      <c r="DJB21" s="582"/>
      <c r="DJC21" s="582"/>
      <c r="DJD21" s="582"/>
      <c r="DJE21" s="582"/>
      <c r="DJF21" s="582"/>
      <c r="DJG21" s="582"/>
      <c r="DJH21" s="582"/>
      <c r="DJI21" s="582"/>
      <c r="DJJ21" s="582"/>
      <c r="DJK21" s="582"/>
      <c r="DJL21" s="582"/>
      <c r="DJM21" s="582"/>
      <c r="DJN21" s="582"/>
      <c r="DJO21" s="582"/>
      <c r="DJP21" s="582"/>
      <c r="DJQ21" s="582"/>
      <c r="DJR21" s="582"/>
      <c r="DJS21" s="582"/>
      <c r="DJT21" s="582"/>
      <c r="DJU21" s="582"/>
      <c r="DJV21" s="582"/>
      <c r="DJW21" s="582"/>
      <c r="DJX21" s="582"/>
      <c r="DJY21" s="582"/>
      <c r="DJZ21" s="582"/>
      <c r="DKA21" s="582"/>
      <c r="DKB21" s="582"/>
      <c r="DKC21" s="582"/>
      <c r="DKD21" s="582"/>
      <c r="DKE21" s="582"/>
      <c r="DKF21" s="582"/>
      <c r="DKG21" s="582"/>
      <c r="DKH21" s="582"/>
      <c r="DKI21" s="582"/>
      <c r="DKJ21" s="582"/>
      <c r="DKK21" s="582"/>
      <c r="DKL21" s="582"/>
      <c r="DKM21" s="582"/>
      <c r="DKN21" s="582"/>
      <c r="DKO21" s="582"/>
      <c r="DKP21" s="582"/>
      <c r="DKQ21" s="582"/>
      <c r="DKR21" s="582"/>
      <c r="DKS21" s="582"/>
      <c r="DKT21" s="582"/>
      <c r="DKU21" s="582"/>
      <c r="DKV21" s="582"/>
      <c r="DKW21" s="582"/>
      <c r="DKX21" s="582"/>
      <c r="DKY21" s="582"/>
      <c r="DKZ21" s="582"/>
      <c r="DLA21" s="582"/>
      <c r="DLB21" s="582"/>
      <c r="DLC21" s="582"/>
      <c r="DLD21" s="582"/>
      <c r="DLE21" s="582"/>
      <c r="DLF21" s="582"/>
      <c r="DLG21" s="582"/>
      <c r="DLH21" s="582"/>
      <c r="DLI21" s="582"/>
      <c r="DLJ21" s="582"/>
      <c r="DLK21" s="582"/>
      <c r="DLL21" s="582"/>
      <c r="DLM21" s="582"/>
      <c r="DLN21" s="582"/>
      <c r="DLO21" s="582"/>
      <c r="DLP21" s="582"/>
      <c r="DLQ21" s="582"/>
      <c r="DLR21" s="582"/>
      <c r="DLS21" s="582"/>
      <c r="DLT21" s="582"/>
      <c r="DLU21" s="582"/>
      <c r="DLV21" s="582"/>
      <c r="DLW21" s="582"/>
      <c r="DLX21" s="582"/>
      <c r="DLY21" s="582"/>
      <c r="DLZ21" s="582"/>
      <c r="DMA21" s="582"/>
      <c r="DMB21" s="582"/>
      <c r="DMC21" s="582"/>
      <c r="DMD21" s="582"/>
      <c r="DME21" s="582"/>
      <c r="DMF21" s="582"/>
      <c r="DMG21" s="582"/>
      <c r="DMH21" s="582"/>
      <c r="DMI21" s="582"/>
      <c r="DMJ21" s="582"/>
      <c r="DMK21" s="582"/>
      <c r="DML21" s="582"/>
      <c r="DMM21" s="582"/>
      <c r="DMN21" s="582"/>
      <c r="DMO21" s="582"/>
      <c r="DMP21" s="582"/>
      <c r="DMQ21" s="582"/>
      <c r="DMR21" s="582"/>
      <c r="DMS21" s="582"/>
      <c r="DMT21" s="582"/>
      <c r="DMU21" s="582"/>
      <c r="DMV21" s="582"/>
      <c r="DMW21" s="582"/>
      <c r="DMX21" s="582"/>
      <c r="DMY21" s="582"/>
      <c r="DMZ21" s="582"/>
      <c r="DNA21" s="582"/>
      <c r="DNB21" s="582"/>
      <c r="DNC21" s="582"/>
      <c r="DND21" s="582"/>
      <c r="DNE21" s="582"/>
      <c r="DNF21" s="582"/>
      <c r="DNG21" s="582"/>
      <c r="DNH21" s="582"/>
      <c r="DNI21" s="582"/>
      <c r="DNJ21" s="582"/>
      <c r="DNK21" s="582"/>
      <c r="DNL21" s="582"/>
      <c r="DNM21" s="582"/>
      <c r="DNN21" s="582"/>
      <c r="DNO21" s="582"/>
      <c r="DNP21" s="582"/>
      <c r="DNQ21" s="582"/>
      <c r="DNR21" s="582"/>
      <c r="DNS21" s="582"/>
      <c r="DNT21" s="582"/>
      <c r="DNU21" s="582"/>
      <c r="DNV21" s="582"/>
      <c r="DNW21" s="582"/>
      <c r="DNX21" s="582"/>
      <c r="DNY21" s="582"/>
      <c r="DNZ21" s="582"/>
      <c r="DOA21" s="582"/>
      <c r="DOB21" s="582"/>
      <c r="DOC21" s="582"/>
      <c r="DOD21" s="582"/>
      <c r="DOE21" s="582"/>
      <c r="DOF21" s="582"/>
      <c r="DOG21" s="582"/>
      <c r="DOH21" s="582"/>
      <c r="DOI21" s="582"/>
      <c r="DOJ21" s="582"/>
      <c r="DOK21" s="582"/>
      <c r="DOL21" s="582"/>
      <c r="DOM21" s="582"/>
      <c r="DON21" s="582"/>
      <c r="DOO21" s="582"/>
      <c r="DOP21" s="582"/>
      <c r="DOQ21" s="582"/>
      <c r="DOR21" s="582"/>
      <c r="DOS21" s="582"/>
      <c r="DOT21" s="582"/>
      <c r="DOU21" s="582"/>
      <c r="DOV21" s="582"/>
      <c r="DOW21" s="582"/>
      <c r="DOX21" s="582"/>
      <c r="DOY21" s="582"/>
      <c r="DOZ21" s="582"/>
      <c r="DPA21" s="582"/>
      <c r="DPB21" s="582"/>
      <c r="DPC21" s="582"/>
      <c r="DPD21" s="582"/>
      <c r="DPE21" s="582"/>
      <c r="DPF21" s="582"/>
      <c r="DPG21" s="582"/>
      <c r="DPH21" s="582"/>
      <c r="DPI21" s="582"/>
      <c r="DPJ21" s="582"/>
      <c r="DPK21" s="582"/>
      <c r="DPL21" s="582"/>
      <c r="DPM21" s="582"/>
      <c r="DPN21" s="582"/>
      <c r="DPO21" s="582"/>
      <c r="DPP21" s="582"/>
      <c r="DPQ21" s="582"/>
      <c r="DPR21" s="582"/>
      <c r="DPS21" s="582"/>
      <c r="DPT21" s="582"/>
      <c r="DPU21" s="582"/>
      <c r="DPV21" s="582"/>
      <c r="DPW21" s="582"/>
      <c r="DPX21" s="582"/>
      <c r="DPY21" s="582"/>
      <c r="DPZ21" s="582"/>
      <c r="DQA21" s="582"/>
      <c r="DQB21" s="582"/>
      <c r="DQC21" s="582"/>
      <c r="DQD21" s="582"/>
      <c r="DQE21" s="582"/>
      <c r="DQF21" s="582"/>
      <c r="DQG21" s="582"/>
      <c r="DQH21" s="582"/>
      <c r="DQI21" s="582"/>
      <c r="DQJ21" s="582"/>
      <c r="DQK21" s="582"/>
      <c r="DQL21" s="582"/>
      <c r="DQM21" s="582"/>
      <c r="DQN21" s="582"/>
      <c r="DQO21" s="582"/>
      <c r="DQP21" s="582"/>
      <c r="DQQ21" s="582"/>
      <c r="DQR21" s="582"/>
      <c r="DQS21" s="582"/>
      <c r="DQT21" s="582"/>
      <c r="DQU21" s="582"/>
      <c r="DQV21" s="582"/>
      <c r="DQW21" s="582"/>
      <c r="DQX21" s="582"/>
      <c r="DQY21" s="582"/>
      <c r="DQZ21" s="582"/>
      <c r="DRA21" s="582"/>
      <c r="DRB21" s="582"/>
      <c r="DRC21" s="582"/>
      <c r="DRD21" s="582"/>
      <c r="DRE21" s="582"/>
      <c r="DRF21" s="582"/>
      <c r="DRG21" s="582"/>
      <c r="DRH21" s="582"/>
      <c r="DRI21" s="582"/>
      <c r="DRJ21" s="582"/>
      <c r="DRK21" s="582"/>
      <c r="DRL21" s="582"/>
      <c r="DRM21" s="582"/>
      <c r="DRN21" s="582"/>
      <c r="DRO21" s="582"/>
      <c r="DRP21" s="582"/>
      <c r="DRQ21" s="582"/>
      <c r="DRR21" s="582"/>
      <c r="DRS21" s="582"/>
      <c r="DRT21" s="582"/>
      <c r="DRU21" s="582"/>
      <c r="DRV21" s="582"/>
      <c r="DRW21" s="582"/>
      <c r="DRX21" s="582"/>
      <c r="DRY21" s="582"/>
      <c r="DRZ21" s="582"/>
      <c r="DSA21" s="582"/>
      <c r="DSB21" s="582"/>
      <c r="DSC21" s="582"/>
      <c r="DSD21" s="582"/>
      <c r="DSE21" s="582"/>
      <c r="DSF21" s="582"/>
      <c r="DSG21" s="582"/>
      <c r="DSH21" s="582"/>
      <c r="DSI21" s="582"/>
      <c r="DSJ21" s="582"/>
      <c r="DSK21" s="582"/>
      <c r="DSL21" s="582"/>
      <c r="DSM21" s="582"/>
      <c r="DSN21" s="582"/>
      <c r="DSO21" s="582"/>
      <c r="DSP21" s="582"/>
      <c r="DSQ21" s="582"/>
      <c r="DSR21" s="582"/>
      <c r="DSS21" s="582"/>
      <c r="DST21" s="582"/>
      <c r="DSU21" s="582"/>
      <c r="DSV21" s="582"/>
      <c r="DSW21" s="582"/>
      <c r="DSX21" s="582"/>
      <c r="DSY21" s="582"/>
      <c r="DSZ21" s="582"/>
      <c r="DTA21" s="582"/>
      <c r="DTB21" s="582"/>
      <c r="DTC21" s="582"/>
      <c r="DTD21" s="582"/>
      <c r="DTE21" s="582"/>
      <c r="DTF21" s="582"/>
      <c r="DTG21" s="582"/>
      <c r="DTH21" s="582"/>
      <c r="DTI21" s="582"/>
      <c r="DTJ21" s="582"/>
      <c r="DTK21" s="582"/>
      <c r="DTL21" s="582"/>
      <c r="DTM21" s="582"/>
      <c r="DTN21" s="582"/>
      <c r="DTO21" s="582"/>
      <c r="DTP21" s="582"/>
      <c r="DTQ21" s="582"/>
      <c r="DTR21" s="582"/>
      <c r="DTS21" s="582"/>
      <c r="DTT21" s="582"/>
      <c r="DTU21" s="582"/>
      <c r="DTV21" s="582"/>
      <c r="DTW21" s="582"/>
      <c r="DTX21" s="582"/>
      <c r="DTY21" s="582"/>
      <c r="DTZ21" s="582"/>
      <c r="DUA21" s="582"/>
      <c r="DUB21" s="582"/>
      <c r="DUC21" s="582"/>
      <c r="DUD21" s="582"/>
      <c r="DUE21" s="582"/>
      <c r="DUF21" s="582"/>
      <c r="DUG21" s="582"/>
      <c r="DUH21" s="582"/>
      <c r="DUI21" s="582"/>
      <c r="DUJ21" s="582"/>
      <c r="DUK21" s="582"/>
      <c r="DUL21" s="582"/>
      <c r="DUM21" s="582"/>
      <c r="DUN21" s="582"/>
      <c r="DUO21" s="582"/>
      <c r="DUP21" s="582"/>
      <c r="DUQ21" s="582"/>
      <c r="DUR21" s="582"/>
      <c r="DUS21" s="582"/>
      <c r="DUT21" s="582"/>
      <c r="DUU21" s="582"/>
      <c r="DUV21" s="582"/>
      <c r="DUW21" s="582"/>
      <c r="DUX21" s="582"/>
      <c r="DUY21" s="582"/>
      <c r="DUZ21" s="582"/>
      <c r="DVA21" s="582"/>
      <c r="DVB21" s="582"/>
      <c r="DVC21" s="582"/>
      <c r="DVD21" s="582"/>
      <c r="DVE21" s="582"/>
      <c r="DVF21" s="582"/>
      <c r="DVG21" s="582"/>
      <c r="DVH21" s="582"/>
      <c r="DVI21" s="582"/>
      <c r="DVJ21" s="582"/>
      <c r="DVK21" s="582"/>
      <c r="DVL21" s="582"/>
      <c r="DVM21" s="582"/>
      <c r="DVN21" s="582"/>
      <c r="DVO21" s="582"/>
      <c r="DVP21" s="582"/>
      <c r="DVQ21" s="582"/>
      <c r="DVR21" s="582"/>
      <c r="DVS21" s="582"/>
      <c r="DVT21" s="582"/>
      <c r="DVU21" s="582"/>
      <c r="DVV21" s="582"/>
      <c r="DVW21" s="582"/>
      <c r="DVX21" s="582"/>
      <c r="DVY21" s="582"/>
      <c r="DVZ21" s="582"/>
      <c r="DWA21" s="582"/>
      <c r="DWB21" s="582"/>
      <c r="DWC21" s="582"/>
      <c r="DWD21" s="582"/>
      <c r="DWE21" s="582"/>
      <c r="DWF21" s="582"/>
      <c r="DWG21" s="582"/>
      <c r="DWH21" s="582"/>
      <c r="DWI21" s="582"/>
      <c r="DWJ21" s="582"/>
      <c r="DWK21" s="582"/>
      <c r="DWL21" s="582"/>
      <c r="DWM21" s="582"/>
      <c r="DWN21" s="582"/>
      <c r="DWO21" s="582"/>
      <c r="DWP21" s="582"/>
      <c r="DWQ21" s="582"/>
      <c r="DWR21" s="582"/>
      <c r="DWS21" s="582"/>
      <c r="DWT21" s="582"/>
      <c r="DWU21" s="582"/>
      <c r="DWV21" s="582"/>
      <c r="DWW21" s="582"/>
      <c r="DWX21" s="582"/>
      <c r="DWY21" s="582"/>
      <c r="DWZ21" s="582"/>
      <c r="DXA21" s="582"/>
      <c r="DXB21" s="582"/>
      <c r="DXC21" s="582"/>
      <c r="DXD21" s="582"/>
      <c r="DXE21" s="582"/>
      <c r="DXF21" s="582"/>
      <c r="DXG21" s="582"/>
      <c r="DXH21" s="582"/>
      <c r="DXI21" s="582"/>
      <c r="DXJ21" s="582"/>
      <c r="DXK21" s="582"/>
      <c r="DXL21" s="582"/>
      <c r="DXM21" s="582"/>
      <c r="DXN21" s="582"/>
      <c r="DXO21" s="582"/>
      <c r="DXP21" s="582"/>
      <c r="DXQ21" s="582"/>
      <c r="DXR21" s="582"/>
      <c r="DXS21" s="582"/>
      <c r="DXT21" s="582"/>
      <c r="DXU21" s="582"/>
      <c r="DXV21" s="582"/>
      <c r="DXW21" s="582"/>
      <c r="DXX21" s="582"/>
      <c r="DXY21" s="582"/>
      <c r="DXZ21" s="582"/>
      <c r="DYA21" s="582"/>
      <c r="DYB21" s="582"/>
      <c r="DYC21" s="582"/>
      <c r="DYD21" s="582"/>
      <c r="DYE21" s="582"/>
      <c r="DYF21" s="582"/>
      <c r="DYG21" s="582"/>
      <c r="DYH21" s="582"/>
      <c r="DYI21" s="582"/>
      <c r="DYJ21" s="582"/>
      <c r="DYK21" s="582"/>
      <c r="DYL21" s="582"/>
      <c r="DYM21" s="582"/>
      <c r="DYN21" s="582"/>
      <c r="DYO21" s="582"/>
      <c r="DYP21" s="582"/>
      <c r="DYQ21" s="582"/>
      <c r="DYR21" s="582"/>
      <c r="DYS21" s="582"/>
      <c r="DYT21" s="582"/>
      <c r="DYU21" s="582"/>
      <c r="DYV21" s="582"/>
      <c r="DYW21" s="582"/>
      <c r="DYX21" s="582"/>
      <c r="DYY21" s="582"/>
      <c r="DYZ21" s="582"/>
      <c r="DZA21" s="582"/>
      <c r="DZB21" s="582"/>
      <c r="DZC21" s="582"/>
      <c r="DZD21" s="582"/>
      <c r="DZE21" s="582"/>
      <c r="DZF21" s="582"/>
      <c r="DZG21" s="582"/>
      <c r="DZH21" s="582"/>
      <c r="DZI21" s="582"/>
      <c r="DZJ21" s="582"/>
      <c r="DZK21" s="582"/>
      <c r="DZL21" s="582"/>
      <c r="DZM21" s="582"/>
      <c r="DZN21" s="582"/>
      <c r="DZO21" s="582"/>
      <c r="DZP21" s="582"/>
      <c r="DZQ21" s="582"/>
      <c r="DZR21" s="582"/>
      <c r="DZS21" s="582"/>
      <c r="DZT21" s="582"/>
      <c r="DZU21" s="582"/>
      <c r="DZV21" s="582"/>
      <c r="DZW21" s="582"/>
      <c r="DZX21" s="582"/>
      <c r="DZY21" s="582"/>
      <c r="DZZ21" s="582"/>
      <c r="EAA21" s="582"/>
      <c r="EAB21" s="582"/>
      <c r="EAC21" s="582"/>
      <c r="EAD21" s="582"/>
      <c r="EAE21" s="582"/>
      <c r="EAF21" s="582"/>
      <c r="EAG21" s="582"/>
      <c r="EAH21" s="582"/>
      <c r="EAI21" s="582"/>
      <c r="EAJ21" s="582"/>
      <c r="EAK21" s="582"/>
      <c r="EAL21" s="582"/>
      <c r="EAM21" s="582"/>
      <c r="EAN21" s="582"/>
      <c r="EAO21" s="582"/>
      <c r="EAP21" s="582"/>
      <c r="EAQ21" s="582"/>
      <c r="EAR21" s="582"/>
      <c r="EAS21" s="582"/>
      <c r="EAT21" s="582"/>
      <c r="EAU21" s="582"/>
      <c r="EAV21" s="582"/>
      <c r="EAW21" s="582"/>
      <c r="EAX21" s="582"/>
      <c r="EAY21" s="582"/>
      <c r="EAZ21" s="582"/>
      <c r="EBA21" s="582"/>
      <c r="EBB21" s="582"/>
      <c r="EBC21" s="582"/>
      <c r="EBD21" s="582"/>
      <c r="EBE21" s="582"/>
      <c r="EBF21" s="582"/>
      <c r="EBG21" s="582"/>
      <c r="EBH21" s="582"/>
      <c r="EBI21" s="582"/>
      <c r="EBJ21" s="582"/>
      <c r="EBK21" s="582"/>
      <c r="EBL21" s="582"/>
      <c r="EBM21" s="582"/>
      <c r="EBN21" s="582"/>
      <c r="EBO21" s="582"/>
      <c r="EBP21" s="582"/>
      <c r="EBQ21" s="582"/>
      <c r="EBR21" s="582"/>
      <c r="EBS21" s="582"/>
      <c r="EBT21" s="582"/>
      <c r="EBU21" s="582"/>
      <c r="EBV21" s="582"/>
      <c r="EBW21" s="582"/>
      <c r="EBX21" s="582"/>
      <c r="EBY21" s="582"/>
      <c r="EBZ21" s="582"/>
      <c r="ECA21" s="582"/>
      <c r="ECB21" s="582"/>
      <c r="ECC21" s="582"/>
      <c r="ECD21" s="582"/>
      <c r="ECE21" s="582"/>
      <c r="ECF21" s="582"/>
      <c r="ECG21" s="582"/>
      <c r="ECH21" s="582"/>
      <c r="ECI21" s="582"/>
      <c r="ECJ21" s="582"/>
      <c r="ECK21" s="582"/>
      <c r="ECL21" s="582"/>
      <c r="ECM21" s="582"/>
      <c r="ECN21" s="582"/>
      <c r="ECO21" s="582"/>
      <c r="ECP21" s="582"/>
      <c r="ECQ21" s="582"/>
      <c r="ECR21" s="582"/>
      <c r="ECS21" s="582"/>
      <c r="ECT21" s="582"/>
      <c r="ECU21" s="582"/>
      <c r="ECV21" s="582"/>
      <c r="ECW21" s="582"/>
      <c r="ECX21" s="582"/>
      <c r="ECY21" s="582"/>
      <c r="ECZ21" s="582"/>
      <c r="EDA21" s="582"/>
      <c r="EDB21" s="582"/>
      <c r="EDC21" s="582"/>
      <c r="EDD21" s="582"/>
      <c r="EDE21" s="582"/>
      <c r="EDF21" s="582"/>
      <c r="EDG21" s="582"/>
      <c r="EDH21" s="582"/>
      <c r="EDI21" s="582"/>
      <c r="EDJ21" s="582"/>
      <c r="EDK21" s="582"/>
      <c r="EDL21" s="582"/>
      <c r="EDM21" s="582"/>
      <c r="EDN21" s="582"/>
      <c r="EDO21" s="582"/>
      <c r="EDP21" s="582"/>
      <c r="EDQ21" s="582"/>
      <c r="EDR21" s="582"/>
      <c r="EDS21" s="582"/>
      <c r="EDT21" s="582"/>
      <c r="EDU21" s="582"/>
      <c r="EDV21" s="582"/>
      <c r="EDW21" s="582"/>
      <c r="EDX21" s="582"/>
      <c r="EDY21" s="582"/>
      <c r="EDZ21" s="582"/>
      <c r="EEA21" s="582"/>
      <c r="EEB21" s="582"/>
      <c r="EEC21" s="582"/>
      <c r="EED21" s="582"/>
      <c r="EEE21" s="582"/>
      <c r="EEF21" s="582"/>
      <c r="EEG21" s="582"/>
      <c r="EEH21" s="582"/>
      <c r="EEI21" s="582"/>
      <c r="EEJ21" s="582"/>
      <c r="EEK21" s="582"/>
      <c r="EEL21" s="582"/>
      <c r="EEM21" s="582"/>
      <c r="EEN21" s="582"/>
      <c r="EEO21" s="582"/>
      <c r="EEP21" s="582"/>
      <c r="EEQ21" s="582"/>
      <c r="EER21" s="582"/>
      <c r="EES21" s="582"/>
      <c r="EET21" s="582"/>
      <c r="EEU21" s="582"/>
      <c r="EEV21" s="582"/>
      <c r="EEW21" s="582"/>
      <c r="EEX21" s="582"/>
      <c r="EEY21" s="582"/>
      <c r="EEZ21" s="582"/>
      <c r="EFA21" s="582"/>
      <c r="EFB21" s="582"/>
      <c r="EFC21" s="582"/>
      <c r="EFD21" s="582"/>
      <c r="EFE21" s="582"/>
      <c r="EFF21" s="582"/>
      <c r="EFG21" s="582"/>
      <c r="EFH21" s="582"/>
      <c r="EFI21" s="582"/>
      <c r="EFJ21" s="582"/>
      <c r="EFK21" s="582"/>
      <c r="EFL21" s="582"/>
      <c r="EFM21" s="582"/>
      <c r="EFN21" s="582"/>
      <c r="EFO21" s="582"/>
      <c r="EFP21" s="582"/>
      <c r="EFQ21" s="582"/>
      <c r="EFR21" s="582"/>
      <c r="EFS21" s="582"/>
      <c r="EFT21" s="582"/>
      <c r="EFU21" s="582"/>
      <c r="EFV21" s="582"/>
      <c r="EFW21" s="582"/>
      <c r="EFX21" s="582"/>
      <c r="EFY21" s="582"/>
      <c r="EFZ21" s="582"/>
      <c r="EGA21" s="582"/>
      <c r="EGB21" s="582"/>
      <c r="EGC21" s="582"/>
      <c r="EGD21" s="582"/>
      <c r="EGE21" s="582"/>
      <c r="EGF21" s="582"/>
      <c r="EGG21" s="582"/>
      <c r="EGH21" s="582"/>
      <c r="EGI21" s="582"/>
      <c r="EGJ21" s="582"/>
      <c r="EGK21" s="582"/>
      <c r="EGL21" s="582"/>
      <c r="EGM21" s="582"/>
      <c r="EGN21" s="582"/>
      <c r="EGO21" s="582"/>
      <c r="EGP21" s="582"/>
      <c r="EGQ21" s="582"/>
      <c r="EGR21" s="582"/>
      <c r="EGS21" s="582"/>
      <c r="EGT21" s="582"/>
      <c r="EGU21" s="582"/>
      <c r="EGV21" s="582"/>
      <c r="EGW21" s="582"/>
      <c r="EGX21" s="582"/>
      <c r="EGY21" s="582"/>
      <c r="EGZ21" s="582"/>
      <c r="EHA21" s="582"/>
      <c r="EHB21" s="582"/>
      <c r="EHC21" s="582"/>
      <c r="EHD21" s="582"/>
      <c r="EHE21" s="582"/>
      <c r="EHF21" s="582"/>
      <c r="EHG21" s="582"/>
      <c r="EHH21" s="582"/>
      <c r="EHI21" s="582"/>
      <c r="EHJ21" s="582"/>
      <c r="EHK21" s="582"/>
      <c r="EHL21" s="582"/>
      <c r="EHM21" s="582"/>
      <c r="EHN21" s="582"/>
      <c r="EHO21" s="582"/>
      <c r="EHP21" s="582"/>
      <c r="EHQ21" s="582"/>
      <c r="EHR21" s="582"/>
      <c r="EHS21" s="582"/>
      <c r="EHT21" s="582"/>
      <c r="EHU21" s="582"/>
      <c r="EHV21" s="582"/>
      <c r="EHW21" s="582"/>
      <c r="EHX21" s="582"/>
      <c r="EHY21" s="582"/>
      <c r="EHZ21" s="582"/>
      <c r="EIA21" s="582"/>
      <c r="EIB21" s="582"/>
      <c r="EIC21" s="582"/>
      <c r="EID21" s="582"/>
      <c r="EIE21" s="582"/>
      <c r="EIF21" s="582"/>
      <c r="EIG21" s="582"/>
      <c r="EIH21" s="582"/>
      <c r="EII21" s="582"/>
      <c r="EIJ21" s="582"/>
      <c r="EIK21" s="582"/>
      <c r="EIL21" s="582"/>
      <c r="EIM21" s="582"/>
      <c r="EIN21" s="582"/>
      <c r="EIO21" s="582"/>
      <c r="EIP21" s="582"/>
      <c r="EIQ21" s="582"/>
      <c r="EIR21" s="582"/>
      <c r="EIS21" s="582"/>
      <c r="EIT21" s="582"/>
      <c r="EIU21" s="582"/>
      <c r="EIV21" s="582"/>
      <c r="EIW21" s="582"/>
      <c r="EIX21" s="582"/>
      <c r="EIY21" s="582"/>
      <c r="EIZ21" s="582"/>
      <c r="EJA21" s="582"/>
      <c r="EJB21" s="582"/>
      <c r="EJC21" s="582"/>
      <c r="EJD21" s="582"/>
      <c r="EJE21" s="582"/>
      <c r="EJF21" s="582"/>
      <c r="EJG21" s="582"/>
      <c r="EJH21" s="582"/>
      <c r="EJI21" s="582"/>
      <c r="EJJ21" s="582"/>
      <c r="EJK21" s="582"/>
      <c r="EJL21" s="582"/>
      <c r="EJM21" s="582"/>
      <c r="EJN21" s="582"/>
      <c r="EJO21" s="582"/>
      <c r="EJP21" s="582"/>
      <c r="EJQ21" s="582"/>
      <c r="EJR21" s="582"/>
      <c r="EJS21" s="582"/>
      <c r="EJT21" s="582"/>
      <c r="EJU21" s="582"/>
      <c r="EJV21" s="582"/>
      <c r="EJW21" s="582"/>
      <c r="EJX21" s="582"/>
      <c r="EJY21" s="582"/>
      <c r="EJZ21" s="582"/>
      <c r="EKA21" s="582"/>
      <c r="EKB21" s="582"/>
      <c r="EKC21" s="582"/>
      <c r="EKD21" s="582"/>
      <c r="EKE21" s="582"/>
      <c r="EKF21" s="582"/>
      <c r="EKG21" s="582"/>
      <c r="EKH21" s="582"/>
      <c r="EKI21" s="582"/>
      <c r="EKJ21" s="582"/>
      <c r="EKK21" s="582"/>
      <c r="EKL21" s="582"/>
      <c r="EKM21" s="582"/>
      <c r="EKN21" s="582"/>
      <c r="EKO21" s="582"/>
      <c r="EKP21" s="582"/>
      <c r="EKQ21" s="582"/>
      <c r="EKR21" s="582"/>
      <c r="EKS21" s="582"/>
      <c r="EKT21" s="582"/>
      <c r="EKU21" s="582"/>
      <c r="EKV21" s="582"/>
      <c r="EKW21" s="582"/>
      <c r="EKX21" s="582"/>
      <c r="EKY21" s="582"/>
      <c r="EKZ21" s="582"/>
      <c r="ELA21" s="582"/>
      <c r="ELB21" s="582"/>
      <c r="ELC21" s="582"/>
      <c r="ELD21" s="582"/>
      <c r="ELE21" s="582"/>
      <c r="ELF21" s="582"/>
      <c r="ELG21" s="582"/>
      <c r="ELH21" s="582"/>
      <c r="ELI21" s="582"/>
      <c r="ELJ21" s="582"/>
      <c r="ELK21" s="582"/>
      <c r="ELL21" s="582"/>
      <c r="ELM21" s="582"/>
      <c r="ELN21" s="582"/>
      <c r="ELO21" s="582"/>
      <c r="ELP21" s="582"/>
      <c r="ELQ21" s="582"/>
      <c r="ELR21" s="582"/>
      <c r="ELS21" s="582"/>
      <c r="ELT21" s="582"/>
      <c r="ELU21" s="582"/>
      <c r="ELV21" s="582"/>
      <c r="ELW21" s="582"/>
      <c r="ELX21" s="582"/>
      <c r="ELY21" s="582"/>
      <c r="ELZ21" s="582"/>
      <c r="EMA21" s="582"/>
      <c r="EMB21" s="582"/>
      <c r="EMC21" s="582"/>
      <c r="EMD21" s="582"/>
      <c r="EME21" s="582"/>
      <c r="EMF21" s="582"/>
      <c r="EMG21" s="582"/>
      <c r="EMH21" s="582"/>
      <c r="EMI21" s="582"/>
      <c r="EMJ21" s="582"/>
      <c r="EMK21" s="582"/>
      <c r="EML21" s="582"/>
      <c r="EMM21" s="582"/>
      <c r="EMN21" s="582"/>
      <c r="EMO21" s="582"/>
      <c r="EMP21" s="582"/>
      <c r="EMQ21" s="582"/>
      <c r="EMR21" s="582"/>
      <c r="EMS21" s="582"/>
      <c r="EMT21" s="582"/>
      <c r="EMU21" s="582"/>
      <c r="EMV21" s="582"/>
      <c r="EMW21" s="582"/>
      <c r="EMX21" s="582"/>
      <c r="EMY21" s="582"/>
      <c r="EMZ21" s="582"/>
      <c r="ENA21" s="582"/>
      <c r="ENB21" s="582"/>
      <c r="ENC21" s="582"/>
      <c r="END21" s="582"/>
      <c r="ENE21" s="582"/>
      <c r="ENF21" s="582"/>
      <c r="ENG21" s="582"/>
      <c r="ENH21" s="582"/>
      <c r="ENI21" s="582"/>
      <c r="ENJ21" s="582"/>
      <c r="ENK21" s="582"/>
      <c r="ENL21" s="582"/>
      <c r="ENM21" s="582"/>
      <c r="ENN21" s="582"/>
      <c r="ENO21" s="582"/>
      <c r="ENP21" s="582"/>
      <c r="ENQ21" s="582"/>
      <c r="ENR21" s="582"/>
      <c r="ENS21" s="582"/>
      <c r="ENT21" s="582"/>
      <c r="ENU21" s="582"/>
      <c r="ENV21" s="582"/>
      <c r="ENW21" s="582"/>
      <c r="ENX21" s="582"/>
      <c r="ENY21" s="582"/>
      <c r="ENZ21" s="582"/>
      <c r="EOA21" s="582"/>
      <c r="EOB21" s="582"/>
      <c r="EOC21" s="582"/>
      <c r="EOD21" s="582"/>
      <c r="EOE21" s="582"/>
      <c r="EOF21" s="582"/>
      <c r="EOG21" s="582"/>
      <c r="EOH21" s="582"/>
      <c r="EOI21" s="582"/>
      <c r="EOJ21" s="582"/>
      <c r="EOK21" s="582"/>
      <c r="EOL21" s="582"/>
      <c r="EOM21" s="582"/>
      <c r="EON21" s="582"/>
      <c r="EOO21" s="582"/>
      <c r="EOP21" s="582"/>
      <c r="EOQ21" s="582"/>
      <c r="EOR21" s="582"/>
      <c r="EOS21" s="582"/>
      <c r="EOT21" s="582"/>
      <c r="EOU21" s="582"/>
      <c r="EOV21" s="582"/>
      <c r="EOW21" s="582"/>
      <c r="EOX21" s="582"/>
      <c r="EOY21" s="582"/>
      <c r="EOZ21" s="582"/>
      <c r="EPA21" s="582"/>
      <c r="EPB21" s="582"/>
      <c r="EPC21" s="582"/>
      <c r="EPD21" s="582"/>
      <c r="EPE21" s="582"/>
      <c r="EPF21" s="582"/>
      <c r="EPG21" s="582"/>
      <c r="EPH21" s="582"/>
      <c r="EPI21" s="582"/>
      <c r="EPJ21" s="582"/>
      <c r="EPK21" s="582"/>
      <c r="EPL21" s="582"/>
      <c r="EPM21" s="582"/>
      <c r="EPN21" s="582"/>
      <c r="EPO21" s="582"/>
      <c r="EPP21" s="582"/>
      <c r="EPQ21" s="582"/>
      <c r="EPR21" s="582"/>
      <c r="EPS21" s="582"/>
      <c r="EPT21" s="582"/>
      <c r="EPU21" s="582"/>
      <c r="EPV21" s="582"/>
      <c r="EPW21" s="582"/>
      <c r="EPX21" s="582"/>
      <c r="EPY21" s="582"/>
      <c r="EPZ21" s="582"/>
      <c r="EQA21" s="582"/>
      <c r="EQB21" s="582"/>
      <c r="EQC21" s="582"/>
      <c r="EQD21" s="582"/>
      <c r="EQE21" s="582"/>
      <c r="EQF21" s="582"/>
      <c r="EQG21" s="582"/>
      <c r="EQH21" s="582"/>
      <c r="EQI21" s="582"/>
      <c r="EQJ21" s="582"/>
      <c r="EQK21" s="582"/>
      <c r="EQL21" s="582"/>
      <c r="EQM21" s="582"/>
      <c r="EQN21" s="582"/>
      <c r="EQO21" s="582"/>
      <c r="EQP21" s="582"/>
      <c r="EQQ21" s="582"/>
      <c r="EQR21" s="582"/>
      <c r="EQS21" s="582"/>
      <c r="EQT21" s="582"/>
      <c r="EQU21" s="582"/>
      <c r="EQV21" s="582"/>
      <c r="EQW21" s="582"/>
      <c r="EQX21" s="582"/>
      <c r="EQY21" s="582"/>
      <c r="EQZ21" s="582"/>
      <c r="ERA21" s="582"/>
      <c r="ERB21" s="582"/>
      <c r="ERC21" s="582"/>
      <c r="ERD21" s="582"/>
      <c r="ERE21" s="582"/>
      <c r="ERF21" s="582"/>
      <c r="ERG21" s="582"/>
      <c r="ERH21" s="582"/>
      <c r="ERI21" s="582"/>
      <c r="ERJ21" s="582"/>
      <c r="ERK21" s="582"/>
      <c r="ERL21" s="582"/>
      <c r="ERM21" s="582"/>
      <c r="ERN21" s="582"/>
      <c r="ERO21" s="582"/>
      <c r="ERP21" s="582"/>
      <c r="ERQ21" s="582"/>
      <c r="ERR21" s="582"/>
      <c r="ERS21" s="582"/>
      <c r="ERT21" s="582"/>
      <c r="ERU21" s="582"/>
      <c r="ERV21" s="582"/>
      <c r="ERW21" s="582"/>
      <c r="ERX21" s="582"/>
      <c r="ERY21" s="582"/>
      <c r="ERZ21" s="582"/>
      <c r="ESA21" s="582"/>
      <c r="ESB21" s="582"/>
      <c r="ESC21" s="582"/>
      <c r="ESD21" s="582"/>
      <c r="ESE21" s="582"/>
      <c r="ESF21" s="582"/>
      <c r="ESG21" s="582"/>
      <c r="ESH21" s="582"/>
      <c r="ESI21" s="582"/>
      <c r="ESJ21" s="582"/>
      <c r="ESK21" s="582"/>
      <c r="ESL21" s="582"/>
      <c r="ESM21" s="582"/>
      <c r="ESN21" s="582"/>
      <c r="ESO21" s="582"/>
      <c r="ESP21" s="582"/>
      <c r="ESQ21" s="582"/>
      <c r="ESR21" s="582"/>
      <c r="ESS21" s="582"/>
      <c r="EST21" s="582"/>
      <c r="ESU21" s="582"/>
      <c r="ESV21" s="582"/>
      <c r="ESW21" s="582"/>
      <c r="ESX21" s="582"/>
      <c r="ESY21" s="582"/>
      <c r="ESZ21" s="582"/>
      <c r="ETA21" s="582"/>
      <c r="ETB21" s="582"/>
      <c r="ETC21" s="582"/>
      <c r="ETD21" s="582"/>
      <c r="ETE21" s="582"/>
      <c r="ETF21" s="582"/>
      <c r="ETG21" s="582"/>
      <c r="ETH21" s="582"/>
      <c r="ETI21" s="582"/>
      <c r="ETJ21" s="582"/>
      <c r="ETK21" s="582"/>
      <c r="ETL21" s="582"/>
      <c r="ETM21" s="582"/>
      <c r="ETN21" s="582"/>
      <c r="ETO21" s="582"/>
      <c r="ETP21" s="582"/>
      <c r="ETQ21" s="582"/>
      <c r="ETR21" s="582"/>
      <c r="ETS21" s="582"/>
      <c r="ETT21" s="582"/>
      <c r="ETU21" s="582"/>
      <c r="ETV21" s="582"/>
      <c r="ETW21" s="582"/>
      <c r="ETX21" s="582"/>
      <c r="ETY21" s="582"/>
      <c r="ETZ21" s="582"/>
      <c r="EUA21" s="582"/>
      <c r="EUB21" s="582"/>
      <c r="EUC21" s="582"/>
      <c r="EUD21" s="582"/>
      <c r="EUE21" s="582"/>
      <c r="EUF21" s="582"/>
      <c r="EUG21" s="582"/>
      <c r="EUH21" s="582"/>
      <c r="EUI21" s="582"/>
      <c r="EUJ21" s="582"/>
      <c r="EUK21" s="582"/>
      <c r="EUL21" s="582"/>
      <c r="EUM21" s="582"/>
      <c r="EUN21" s="582"/>
      <c r="EUO21" s="582"/>
      <c r="EUP21" s="582"/>
      <c r="EUQ21" s="582"/>
      <c r="EUR21" s="582"/>
      <c r="EUS21" s="582"/>
      <c r="EUT21" s="582"/>
      <c r="EUU21" s="582"/>
      <c r="EUV21" s="582"/>
      <c r="EUW21" s="582"/>
      <c r="EUX21" s="582"/>
      <c r="EUY21" s="582"/>
      <c r="EUZ21" s="582"/>
      <c r="EVA21" s="582"/>
      <c r="EVB21" s="582"/>
      <c r="EVC21" s="582"/>
      <c r="EVD21" s="582"/>
      <c r="EVE21" s="582"/>
      <c r="EVF21" s="582"/>
      <c r="EVG21" s="582"/>
      <c r="EVH21" s="582"/>
      <c r="EVI21" s="582"/>
      <c r="EVJ21" s="582"/>
      <c r="EVK21" s="582"/>
      <c r="EVL21" s="582"/>
      <c r="EVM21" s="582"/>
      <c r="EVN21" s="582"/>
      <c r="EVO21" s="582"/>
      <c r="EVP21" s="582"/>
      <c r="EVQ21" s="582"/>
      <c r="EVR21" s="582"/>
      <c r="EVS21" s="582"/>
      <c r="EVT21" s="582"/>
      <c r="EVU21" s="582"/>
      <c r="EVV21" s="582"/>
      <c r="EVW21" s="582"/>
      <c r="EVX21" s="582"/>
      <c r="EVY21" s="582"/>
      <c r="EVZ21" s="582"/>
      <c r="EWA21" s="582"/>
      <c r="EWB21" s="582"/>
      <c r="EWC21" s="582"/>
      <c r="EWD21" s="582"/>
      <c r="EWE21" s="582"/>
      <c r="EWF21" s="582"/>
      <c r="EWG21" s="582"/>
      <c r="EWH21" s="582"/>
      <c r="EWI21" s="582"/>
      <c r="EWJ21" s="582"/>
      <c r="EWK21" s="582"/>
      <c r="EWL21" s="582"/>
      <c r="EWM21" s="582"/>
      <c r="EWN21" s="582"/>
      <c r="EWO21" s="582"/>
      <c r="EWP21" s="582"/>
      <c r="EWQ21" s="582"/>
      <c r="EWR21" s="582"/>
      <c r="EWS21" s="582"/>
      <c r="EWT21" s="582"/>
      <c r="EWU21" s="582"/>
      <c r="EWV21" s="582"/>
      <c r="EWW21" s="582"/>
      <c r="EWX21" s="582"/>
      <c r="EWY21" s="582"/>
      <c r="EWZ21" s="582"/>
      <c r="EXA21" s="582"/>
      <c r="EXB21" s="582"/>
      <c r="EXC21" s="582"/>
      <c r="EXD21" s="582"/>
      <c r="EXE21" s="582"/>
      <c r="EXF21" s="582"/>
      <c r="EXG21" s="582"/>
      <c r="EXH21" s="582"/>
      <c r="EXI21" s="582"/>
      <c r="EXJ21" s="582"/>
      <c r="EXK21" s="582"/>
      <c r="EXL21" s="582"/>
      <c r="EXM21" s="582"/>
      <c r="EXN21" s="582"/>
      <c r="EXO21" s="582"/>
      <c r="EXP21" s="582"/>
      <c r="EXQ21" s="582"/>
      <c r="EXR21" s="582"/>
      <c r="EXS21" s="582"/>
      <c r="EXT21" s="582"/>
      <c r="EXU21" s="582"/>
      <c r="EXV21" s="582"/>
      <c r="EXW21" s="582"/>
      <c r="EXX21" s="582"/>
      <c r="EXY21" s="582"/>
      <c r="EXZ21" s="582"/>
      <c r="EYA21" s="582"/>
      <c r="EYB21" s="582"/>
      <c r="EYC21" s="582"/>
      <c r="EYD21" s="582"/>
      <c r="EYE21" s="582"/>
      <c r="EYF21" s="582"/>
      <c r="EYG21" s="582"/>
      <c r="EYH21" s="582"/>
      <c r="EYI21" s="582"/>
      <c r="EYJ21" s="582"/>
      <c r="EYK21" s="582"/>
      <c r="EYL21" s="582"/>
      <c r="EYM21" s="582"/>
      <c r="EYN21" s="582"/>
      <c r="EYO21" s="582"/>
      <c r="EYP21" s="582"/>
      <c r="EYQ21" s="582"/>
      <c r="EYR21" s="582"/>
      <c r="EYS21" s="582"/>
      <c r="EYT21" s="582"/>
      <c r="EYU21" s="582"/>
      <c r="EYV21" s="582"/>
      <c r="EYW21" s="582"/>
      <c r="EYX21" s="582"/>
      <c r="EYY21" s="582"/>
      <c r="EYZ21" s="582"/>
      <c r="EZA21" s="582"/>
      <c r="EZB21" s="582"/>
      <c r="EZC21" s="582"/>
      <c r="EZD21" s="582"/>
      <c r="EZE21" s="582"/>
      <c r="EZF21" s="582"/>
      <c r="EZG21" s="582"/>
      <c r="EZH21" s="582"/>
      <c r="EZI21" s="582"/>
      <c r="EZJ21" s="582"/>
      <c r="EZK21" s="582"/>
      <c r="EZL21" s="582"/>
      <c r="EZM21" s="582"/>
      <c r="EZN21" s="582"/>
      <c r="EZO21" s="582"/>
      <c r="EZP21" s="582"/>
      <c r="EZQ21" s="582"/>
      <c r="EZR21" s="582"/>
      <c r="EZS21" s="582"/>
      <c r="EZT21" s="582"/>
      <c r="EZU21" s="582"/>
      <c r="EZV21" s="582"/>
      <c r="EZW21" s="582"/>
      <c r="EZX21" s="582"/>
      <c r="EZY21" s="582"/>
      <c r="EZZ21" s="582"/>
      <c r="FAA21" s="582"/>
      <c r="FAB21" s="582"/>
      <c r="FAC21" s="582"/>
      <c r="FAD21" s="582"/>
      <c r="FAE21" s="582"/>
      <c r="FAF21" s="582"/>
      <c r="FAG21" s="582"/>
      <c r="FAH21" s="582"/>
      <c r="FAI21" s="582"/>
      <c r="FAJ21" s="582"/>
      <c r="FAK21" s="582"/>
      <c r="FAL21" s="582"/>
      <c r="FAM21" s="582"/>
      <c r="FAN21" s="582"/>
      <c r="FAO21" s="582"/>
      <c r="FAP21" s="582"/>
      <c r="FAQ21" s="582"/>
      <c r="FAR21" s="582"/>
      <c r="FAS21" s="582"/>
      <c r="FAT21" s="582"/>
      <c r="FAU21" s="582"/>
      <c r="FAV21" s="582"/>
      <c r="FAW21" s="582"/>
      <c r="FAX21" s="582"/>
      <c r="FAY21" s="582"/>
      <c r="FAZ21" s="582"/>
      <c r="FBA21" s="582"/>
      <c r="FBB21" s="582"/>
      <c r="FBC21" s="582"/>
      <c r="FBD21" s="582"/>
      <c r="FBE21" s="582"/>
      <c r="FBF21" s="582"/>
      <c r="FBG21" s="582"/>
      <c r="FBH21" s="582"/>
      <c r="FBI21" s="582"/>
      <c r="FBJ21" s="582"/>
      <c r="FBK21" s="582"/>
      <c r="FBL21" s="582"/>
      <c r="FBM21" s="582"/>
      <c r="FBN21" s="582"/>
      <c r="FBO21" s="582"/>
      <c r="FBP21" s="582"/>
      <c r="FBQ21" s="582"/>
      <c r="FBR21" s="582"/>
      <c r="FBS21" s="582"/>
      <c r="FBT21" s="582"/>
      <c r="FBU21" s="582"/>
      <c r="FBV21" s="582"/>
      <c r="FBW21" s="582"/>
      <c r="FBX21" s="582"/>
      <c r="FBY21" s="582"/>
      <c r="FBZ21" s="582"/>
      <c r="FCA21" s="582"/>
      <c r="FCB21" s="582"/>
      <c r="FCC21" s="582"/>
      <c r="FCD21" s="582"/>
      <c r="FCE21" s="582"/>
      <c r="FCF21" s="582"/>
      <c r="FCG21" s="582"/>
      <c r="FCH21" s="582"/>
      <c r="FCI21" s="582"/>
      <c r="FCJ21" s="582"/>
      <c r="FCK21" s="582"/>
      <c r="FCL21" s="582"/>
      <c r="FCM21" s="582"/>
      <c r="FCN21" s="582"/>
      <c r="FCO21" s="582"/>
      <c r="FCP21" s="582"/>
      <c r="FCQ21" s="582"/>
      <c r="FCR21" s="582"/>
      <c r="FCS21" s="582"/>
      <c r="FCT21" s="582"/>
      <c r="FCU21" s="582"/>
      <c r="FCV21" s="582"/>
      <c r="FCW21" s="582"/>
      <c r="FCX21" s="582"/>
      <c r="FCY21" s="582"/>
      <c r="FCZ21" s="582"/>
      <c r="FDA21" s="582"/>
      <c r="FDB21" s="582"/>
      <c r="FDC21" s="582"/>
      <c r="FDD21" s="582"/>
      <c r="FDE21" s="582"/>
      <c r="FDF21" s="582"/>
      <c r="FDG21" s="582"/>
      <c r="FDH21" s="582"/>
      <c r="FDI21" s="582"/>
      <c r="FDJ21" s="582"/>
      <c r="FDK21" s="582"/>
      <c r="FDL21" s="582"/>
      <c r="FDM21" s="582"/>
      <c r="FDN21" s="582"/>
      <c r="FDO21" s="582"/>
      <c r="FDP21" s="582"/>
      <c r="FDQ21" s="582"/>
      <c r="FDR21" s="582"/>
      <c r="FDS21" s="582"/>
      <c r="FDT21" s="582"/>
      <c r="FDU21" s="582"/>
      <c r="FDV21" s="582"/>
      <c r="FDW21" s="582"/>
      <c r="FDX21" s="582"/>
      <c r="FDY21" s="582"/>
      <c r="FDZ21" s="582"/>
      <c r="FEA21" s="582"/>
      <c r="FEB21" s="582"/>
      <c r="FEC21" s="582"/>
      <c r="FED21" s="582"/>
      <c r="FEE21" s="582"/>
      <c r="FEF21" s="582"/>
      <c r="FEG21" s="582"/>
      <c r="FEH21" s="582"/>
      <c r="FEI21" s="582"/>
      <c r="FEJ21" s="582"/>
      <c r="FEK21" s="582"/>
      <c r="FEL21" s="582"/>
      <c r="FEM21" s="582"/>
      <c r="FEN21" s="582"/>
      <c r="FEO21" s="582"/>
      <c r="FEP21" s="582"/>
      <c r="FEQ21" s="582"/>
      <c r="FER21" s="582"/>
      <c r="FES21" s="582"/>
      <c r="FET21" s="582"/>
      <c r="FEU21" s="582"/>
      <c r="FEV21" s="582"/>
      <c r="FEW21" s="582"/>
      <c r="FEX21" s="582"/>
      <c r="FEY21" s="582"/>
      <c r="FEZ21" s="582"/>
      <c r="FFA21" s="582"/>
      <c r="FFB21" s="582"/>
      <c r="FFC21" s="582"/>
      <c r="FFD21" s="582"/>
      <c r="FFE21" s="582"/>
      <c r="FFF21" s="582"/>
      <c r="FFG21" s="582"/>
      <c r="FFH21" s="582"/>
      <c r="FFI21" s="582"/>
      <c r="FFJ21" s="582"/>
      <c r="FFK21" s="582"/>
      <c r="FFL21" s="582"/>
      <c r="FFM21" s="582"/>
      <c r="FFN21" s="582"/>
      <c r="FFO21" s="582"/>
      <c r="FFP21" s="582"/>
      <c r="FFQ21" s="582"/>
      <c r="FFR21" s="582"/>
      <c r="FFS21" s="582"/>
      <c r="FFT21" s="582"/>
      <c r="FFU21" s="582"/>
      <c r="FFV21" s="582"/>
      <c r="FFW21" s="582"/>
      <c r="FFX21" s="582"/>
      <c r="FFY21" s="582"/>
      <c r="FFZ21" s="582"/>
      <c r="FGA21" s="582"/>
      <c r="FGB21" s="582"/>
      <c r="FGC21" s="582"/>
      <c r="FGD21" s="582"/>
      <c r="FGE21" s="582"/>
      <c r="FGF21" s="582"/>
      <c r="FGG21" s="582"/>
      <c r="FGH21" s="582"/>
      <c r="FGI21" s="582"/>
      <c r="FGJ21" s="582"/>
      <c r="FGK21" s="582"/>
      <c r="FGL21" s="582"/>
      <c r="FGM21" s="582"/>
      <c r="FGN21" s="582"/>
      <c r="FGO21" s="582"/>
      <c r="FGP21" s="582"/>
      <c r="FGQ21" s="582"/>
      <c r="FGR21" s="582"/>
      <c r="FGS21" s="582"/>
      <c r="FGT21" s="582"/>
      <c r="FGU21" s="582"/>
      <c r="FGV21" s="582"/>
      <c r="FGW21" s="582"/>
      <c r="FGX21" s="582"/>
      <c r="FGY21" s="582"/>
      <c r="FGZ21" s="582"/>
      <c r="FHA21" s="582"/>
      <c r="FHB21" s="582"/>
      <c r="FHC21" s="582"/>
      <c r="FHD21" s="582"/>
      <c r="FHE21" s="582"/>
      <c r="FHF21" s="582"/>
      <c r="FHG21" s="582"/>
      <c r="FHH21" s="582"/>
      <c r="FHI21" s="582"/>
      <c r="FHJ21" s="582"/>
      <c r="FHK21" s="582"/>
      <c r="FHL21" s="582"/>
      <c r="FHM21" s="582"/>
      <c r="FHN21" s="582"/>
      <c r="FHO21" s="582"/>
      <c r="FHP21" s="582"/>
      <c r="FHQ21" s="582"/>
      <c r="FHR21" s="582"/>
      <c r="FHS21" s="582"/>
      <c r="FHT21" s="582"/>
      <c r="FHU21" s="582"/>
      <c r="FHV21" s="582"/>
      <c r="FHW21" s="582"/>
      <c r="FHX21" s="582"/>
      <c r="FHY21" s="582"/>
      <c r="FHZ21" s="582"/>
      <c r="FIA21" s="582"/>
      <c r="FIB21" s="582"/>
      <c r="FIC21" s="582"/>
      <c r="FID21" s="582"/>
      <c r="FIE21" s="582"/>
      <c r="FIF21" s="582"/>
      <c r="FIG21" s="582"/>
      <c r="FIH21" s="582"/>
      <c r="FII21" s="582"/>
      <c r="FIJ21" s="582"/>
      <c r="FIK21" s="582"/>
      <c r="FIL21" s="582"/>
      <c r="FIM21" s="582"/>
      <c r="FIN21" s="582"/>
      <c r="FIO21" s="582"/>
      <c r="FIP21" s="582"/>
      <c r="FIQ21" s="582"/>
      <c r="FIR21" s="582"/>
      <c r="FIS21" s="582"/>
      <c r="FIT21" s="582"/>
      <c r="FIU21" s="582"/>
      <c r="FIV21" s="582"/>
      <c r="FIW21" s="582"/>
      <c r="FIX21" s="582"/>
      <c r="FIY21" s="582"/>
      <c r="FIZ21" s="582"/>
      <c r="FJA21" s="582"/>
      <c r="FJB21" s="582"/>
      <c r="FJC21" s="582"/>
      <c r="FJD21" s="582"/>
      <c r="FJE21" s="582"/>
      <c r="FJF21" s="582"/>
      <c r="FJG21" s="582"/>
      <c r="FJH21" s="582"/>
      <c r="FJI21" s="582"/>
      <c r="FJJ21" s="582"/>
      <c r="FJK21" s="582"/>
      <c r="FJL21" s="582"/>
      <c r="FJM21" s="582"/>
      <c r="FJN21" s="582"/>
      <c r="FJO21" s="582"/>
      <c r="FJP21" s="582"/>
      <c r="FJQ21" s="582"/>
      <c r="FJR21" s="582"/>
      <c r="FJS21" s="582"/>
      <c r="FJT21" s="582"/>
      <c r="FJU21" s="582"/>
      <c r="FJV21" s="582"/>
      <c r="FJW21" s="582"/>
      <c r="FJX21" s="582"/>
      <c r="FJY21" s="582"/>
      <c r="FJZ21" s="582"/>
      <c r="FKA21" s="582"/>
      <c r="FKB21" s="582"/>
      <c r="FKC21" s="582"/>
      <c r="FKD21" s="582"/>
      <c r="FKE21" s="582"/>
      <c r="FKF21" s="582"/>
      <c r="FKG21" s="582"/>
      <c r="FKH21" s="582"/>
      <c r="FKI21" s="582"/>
      <c r="FKJ21" s="582"/>
      <c r="FKK21" s="582"/>
      <c r="FKL21" s="582"/>
      <c r="FKM21" s="582"/>
      <c r="FKN21" s="582"/>
      <c r="FKO21" s="582"/>
      <c r="FKP21" s="582"/>
      <c r="FKQ21" s="582"/>
      <c r="FKR21" s="582"/>
      <c r="FKS21" s="582"/>
      <c r="FKT21" s="582"/>
      <c r="FKU21" s="582"/>
      <c r="FKV21" s="582"/>
      <c r="FKW21" s="582"/>
      <c r="FKX21" s="582"/>
      <c r="FKY21" s="582"/>
      <c r="FKZ21" s="582"/>
      <c r="FLA21" s="582"/>
      <c r="FLB21" s="582"/>
      <c r="FLC21" s="582"/>
      <c r="FLD21" s="582"/>
      <c r="FLE21" s="582"/>
      <c r="FLF21" s="582"/>
      <c r="FLG21" s="582"/>
      <c r="FLH21" s="582"/>
      <c r="FLI21" s="582"/>
      <c r="FLJ21" s="582"/>
      <c r="FLK21" s="582"/>
      <c r="FLL21" s="582"/>
      <c r="FLM21" s="582"/>
      <c r="FLN21" s="582"/>
      <c r="FLO21" s="582"/>
      <c r="FLP21" s="582"/>
      <c r="FLQ21" s="582"/>
      <c r="FLR21" s="582"/>
      <c r="FLS21" s="582"/>
      <c r="FLT21" s="582"/>
      <c r="FLU21" s="582"/>
      <c r="FLV21" s="582"/>
      <c r="FLW21" s="582"/>
      <c r="FLX21" s="582"/>
      <c r="FLY21" s="582"/>
      <c r="FLZ21" s="582"/>
      <c r="FMA21" s="582"/>
      <c r="FMB21" s="582"/>
      <c r="FMC21" s="582"/>
      <c r="FMD21" s="582"/>
      <c r="FME21" s="582"/>
      <c r="FMF21" s="582"/>
      <c r="FMG21" s="582"/>
      <c r="FMH21" s="582"/>
      <c r="FMI21" s="582"/>
      <c r="FMJ21" s="582"/>
      <c r="FMK21" s="582"/>
      <c r="FML21" s="582"/>
      <c r="FMM21" s="582"/>
      <c r="FMN21" s="582"/>
      <c r="FMO21" s="582"/>
      <c r="FMP21" s="582"/>
      <c r="FMQ21" s="582"/>
      <c r="FMR21" s="582"/>
      <c r="FMS21" s="582"/>
      <c r="FMT21" s="582"/>
      <c r="FMU21" s="582"/>
      <c r="FMV21" s="582"/>
      <c r="FMW21" s="582"/>
      <c r="FMX21" s="582"/>
      <c r="FMY21" s="582"/>
      <c r="FMZ21" s="582"/>
      <c r="FNA21" s="582"/>
      <c r="FNB21" s="582"/>
      <c r="FNC21" s="582"/>
      <c r="FND21" s="582"/>
      <c r="FNE21" s="582"/>
      <c r="FNF21" s="582"/>
      <c r="FNG21" s="582"/>
      <c r="FNH21" s="582"/>
      <c r="FNI21" s="582"/>
      <c r="FNJ21" s="582"/>
      <c r="FNK21" s="582"/>
      <c r="FNL21" s="582"/>
      <c r="FNM21" s="582"/>
      <c r="FNN21" s="582"/>
      <c r="FNO21" s="582"/>
      <c r="FNP21" s="582"/>
      <c r="FNQ21" s="582"/>
      <c r="FNR21" s="582"/>
      <c r="FNS21" s="582"/>
      <c r="FNT21" s="582"/>
      <c r="FNU21" s="582"/>
      <c r="FNV21" s="582"/>
      <c r="FNW21" s="582"/>
      <c r="FNX21" s="582"/>
      <c r="FNY21" s="582"/>
      <c r="FNZ21" s="582"/>
      <c r="FOA21" s="582"/>
      <c r="FOB21" s="582"/>
      <c r="FOC21" s="582"/>
      <c r="FOD21" s="582"/>
      <c r="FOE21" s="582"/>
      <c r="FOF21" s="582"/>
      <c r="FOG21" s="582"/>
      <c r="FOH21" s="582"/>
      <c r="FOI21" s="582"/>
      <c r="FOJ21" s="582"/>
      <c r="FOK21" s="582"/>
      <c r="FOL21" s="582"/>
      <c r="FOM21" s="582"/>
      <c r="FON21" s="582"/>
      <c r="FOO21" s="582"/>
      <c r="FOP21" s="582"/>
      <c r="FOQ21" s="582"/>
      <c r="FOR21" s="582"/>
      <c r="FOS21" s="582"/>
      <c r="FOT21" s="582"/>
      <c r="FOU21" s="582"/>
      <c r="FOV21" s="582"/>
      <c r="FOW21" s="582"/>
      <c r="FOX21" s="582"/>
      <c r="FOY21" s="582"/>
      <c r="FOZ21" s="582"/>
      <c r="FPA21" s="582"/>
      <c r="FPB21" s="582"/>
      <c r="FPC21" s="582"/>
      <c r="FPD21" s="582"/>
      <c r="FPE21" s="582"/>
      <c r="FPF21" s="582"/>
      <c r="FPG21" s="582"/>
      <c r="FPH21" s="582"/>
      <c r="FPI21" s="582"/>
      <c r="FPJ21" s="582"/>
      <c r="FPK21" s="582"/>
      <c r="FPL21" s="582"/>
      <c r="FPM21" s="582"/>
      <c r="FPN21" s="582"/>
      <c r="FPO21" s="582"/>
      <c r="FPP21" s="582"/>
      <c r="FPQ21" s="582"/>
      <c r="FPR21" s="582"/>
      <c r="FPS21" s="582"/>
      <c r="FPT21" s="582"/>
      <c r="FPU21" s="582"/>
      <c r="FPV21" s="582"/>
      <c r="FPW21" s="582"/>
      <c r="FPX21" s="582"/>
      <c r="FPY21" s="582"/>
      <c r="FPZ21" s="582"/>
      <c r="FQA21" s="582"/>
      <c r="FQB21" s="582"/>
      <c r="FQC21" s="582"/>
      <c r="FQD21" s="582"/>
      <c r="FQE21" s="582"/>
      <c r="FQF21" s="582"/>
      <c r="FQG21" s="582"/>
      <c r="FQH21" s="582"/>
      <c r="FQI21" s="582"/>
      <c r="FQJ21" s="582"/>
      <c r="FQK21" s="582"/>
      <c r="FQL21" s="582"/>
      <c r="FQM21" s="582"/>
      <c r="FQN21" s="582"/>
      <c r="FQO21" s="582"/>
      <c r="FQP21" s="582"/>
      <c r="FQQ21" s="582"/>
      <c r="FQR21" s="582"/>
      <c r="FQS21" s="582"/>
      <c r="FQT21" s="582"/>
      <c r="FQU21" s="582"/>
      <c r="FQV21" s="582"/>
      <c r="FQW21" s="582"/>
      <c r="FQX21" s="582"/>
      <c r="FQY21" s="582"/>
      <c r="FQZ21" s="582"/>
      <c r="FRA21" s="582"/>
      <c r="FRB21" s="582"/>
      <c r="FRC21" s="582"/>
      <c r="FRD21" s="582"/>
      <c r="FRE21" s="582"/>
      <c r="FRF21" s="582"/>
      <c r="FRG21" s="582"/>
      <c r="FRH21" s="582"/>
      <c r="FRI21" s="582"/>
      <c r="FRJ21" s="582"/>
      <c r="FRK21" s="582"/>
      <c r="FRL21" s="582"/>
      <c r="FRM21" s="582"/>
      <c r="FRN21" s="582"/>
      <c r="FRO21" s="582"/>
      <c r="FRP21" s="582"/>
      <c r="FRQ21" s="582"/>
      <c r="FRR21" s="582"/>
      <c r="FRS21" s="582"/>
      <c r="FRT21" s="582"/>
      <c r="FRU21" s="582"/>
      <c r="FRV21" s="582"/>
      <c r="FRW21" s="582"/>
      <c r="FRX21" s="582"/>
      <c r="FRY21" s="582"/>
      <c r="FRZ21" s="582"/>
      <c r="FSA21" s="582"/>
      <c r="FSB21" s="582"/>
      <c r="FSC21" s="582"/>
      <c r="FSD21" s="582"/>
      <c r="FSE21" s="582"/>
      <c r="FSF21" s="582"/>
      <c r="FSG21" s="582"/>
      <c r="FSH21" s="582"/>
      <c r="FSI21" s="582"/>
      <c r="FSJ21" s="582"/>
      <c r="FSK21" s="582"/>
      <c r="FSL21" s="582"/>
      <c r="FSM21" s="582"/>
      <c r="FSN21" s="582"/>
      <c r="FSO21" s="582"/>
      <c r="FSP21" s="582"/>
      <c r="FSQ21" s="582"/>
      <c r="FSR21" s="582"/>
      <c r="FSS21" s="582"/>
      <c r="FST21" s="582"/>
      <c r="FSU21" s="582"/>
      <c r="FSV21" s="582"/>
      <c r="FSW21" s="582"/>
      <c r="FSX21" s="582"/>
      <c r="FSY21" s="582"/>
      <c r="FSZ21" s="582"/>
      <c r="FTA21" s="582"/>
      <c r="FTB21" s="582"/>
      <c r="FTC21" s="582"/>
      <c r="FTD21" s="582"/>
      <c r="FTE21" s="582"/>
      <c r="FTF21" s="582"/>
      <c r="FTG21" s="582"/>
      <c r="FTH21" s="582"/>
      <c r="FTI21" s="582"/>
      <c r="FTJ21" s="582"/>
      <c r="FTK21" s="582"/>
      <c r="FTL21" s="582"/>
      <c r="FTM21" s="582"/>
      <c r="FTN21" s="582"/>
      <c r="FTO21" s="582"/>
      <c r="FTP21" s="582"/>
      <c r="FTQ21" s="582"/>
      <c r="FTR21" s="582"/>
      <c r="FTS21" s="582"/>
      <c r="FTT21" s="582"/>
      <c r="FTU21" s="582"/>
      <c r="FTV21" s="582"/>
      <c r="FTW21" s="582"/>
      <c r="FTX21" s="582"/>
      <c r="FTY21" s="582"/>
      <c r="FTZ21" s="582"/>
      <c r="FUA21" s="582"/>
      <c r="FUB21" s="582"/>
      <c r="FUC21" s="582"/>
      <c r="FUD21" s="582"/>
      <c r="FUE21" s="582"/>
      <c r="FUF21" s="582"/>
      <c r="FUG21" s="582"/>
      <c r="FUH21" s="582"/>
      <c r="FUI21" s="582"/>
      <c r="FUJ21" s="582"/>
      <c r="FUK21" s="582"/>
      <c r="FUL21" s="582"/>
      <c r="FUM21" s="582"/>
      <c r="FUN21" s="582"/>
      <c r="FUO21" s="582"/>
      <c r="FUP21" s="582"/>
      <c r="FUQ21" s="582"/>
      <c r="FUR21" s="582"/>
      <c r="FUS21" s="582"/>
      <c r="FUT21" s="582"/>
      <c r="FUU21" s="582"/>
      <c r="FUV21" s="582"/>
      <c r="FUW21" s="582"/>
      <c r="FUX21" s="582"/>
      <c r="FUY21" s="582"/>
      <c r="FUZ21" s="582"/>
      <c r="FVA21" s="582"/>
      <c r="FVB21" s="582"/>
      <c r="FVC21" s="582"/>
      <c r="FVD21" s="582"/>
      <c r="FVE21" s="582"/>
      <c r="FVF21" s="582"/>
      <c r="FVG21" s="582"/>
      <c r="FVH21" s="582"/>
      <c r="FVI21" s="582"/>
      <c r="FVJ21" s="582"/>
      <c r="FVK21" s="582"/>
      <c r="FVL21" s="582"/>
      <c r="FVM21" s="582"/>
      <c r="FVN21" s="582"/>
      <c r="FVO21" s="582"/>
      <c r="FVP21" s="582"/>
      <c r="FVQ21" s="582"/>
      <c r="FVR21" s="582"/>
      <c r="FVS21" s="582"/>
      <c r="FVT21" s="582"/>
      <c r="FVU21" s="582"/>
      <c r="FVV21" s="582"/>
      <c r="FVW21" s="582"/>
      <c r="FVX21" s="582"/>
      <c r="FVY21" s="582"/>
      <c r="FVZ21" s="582"/>
      <c r="FWA21" s="582"/>
      <c r="FWB21" s="582"/>
      <c r="FWC21" s="582"/>
      <c r="FWD21" s="582"/>
      <c r="FWE21" s="582"/>
      <c r="FWF21" s="582"/>
      <c r="FWG21" s="582"/>
      <c r="FWH21" s="582"/>
      <c r="FWI21" s="582"/>
      <c r="FWJ21" s="582"/>
      <c r="FWK21" s="582"/>
      <c r="FWL21" s="582"/>
      <c r="FWM21" s="582"/>
      <c r="FWN21" s="582"/>
      <c r="FWO21" s="582"/>
      <c r="FWP21" s="582"/>
      <c r="FWQ21" s="582"/>
      <c r="FWR21" s="582"/>
      <c r="FWS21" s="582"/>
      <c r="FWT21" s="582"/>
      <c r="FWU21" s="582"/>
      <c r="FWV21" s="582"/>
      <c r="FWW21" s="582"/>
      <c r="FWX21" s="582"/>
      <c r="FWY21" s="582"/>
      <c r="FWZ21" s="582"/>
      <c r="FXA21" s="582"/>
      <c r="FXB21" s="582"/>
      <c r="FXC21" s="582"/>
      <c r="FXD21" s="582"/>
      <c r="FXE21" s="582"/>
      <c r="FXF21" s="582"/>
      <c r="FXG21" s="582"/>
      <c r="FXH21" s="582"/>
      <c r="FXI21" s="582"/>
      <c r="FXJ21" s="582"/>
      <c r="FXK21" s="582"/>
      <c r="FXL21" s="582"/>
      <c r="FXM21" s="582"/>
      <c r="FXN21" s="582"/>
      <c r="FXO21" s="582"/>
      <c r="FXP21" s="582"/>
      <c r="FXQ21" s="582"/>
      <c r="FXR21" s="582"/>
      <c r="FXS21" s="582"/>
      <c r="FXT21" s="582"/>
      <c r="FXU21" s="582"/>
      <c r="FXV21" s="582"/>
      <c r="FXW21" s="582"/>
      <c r="FXX21" s="582"/>
      <c r="FXY21" s="582"/>
      <c r="FXZ21" s="582"/>
      <c r="FYA21" s="582"/>
      <c r="FYB21" s="582"/>
      <c r="FYC21" s="582"/>
      <c r="FYD21" s="582"/>
      <c r="FYE21" s="582"/>
      <c r="FYF21" s="582"/>
      <c r="FYG21" s="582"/>
      <c r="FYH21" s="582"/>
      <c r="FYI21" s="582"/>
      <c r="FYJ21" s="582"/>
      <c r="FYK21" s="582"/>
      <c r="FYL21" s="582"/>
      <c r="FYM21" s="582"/>
      <c r="FYN21" s="582"/>
      <c r="FYO21" s="582"/>
      <c r="FYP21" s="582"/>
      <c r="FYQ21" s="582"/>
      <c r="FYR21" s="582"/>
      <c r="FYS21" s="582"/>
      <c r="FYT21" s="582"/>
      <c r="FYU21" s="582"/>
      <c r="FYV21" s="582"/>
      <c r="FYW21" s="582"/>
      <c r="FYX21" s="582"/>
      <c r="FYY21" s="582"/>
      <c r="FYZ21" s="582"/>
      <c r="FZA21" s="582"/>
      <c r="FZB21" s="582"/>
      <c r="FZC21" s="582"/>
      <c r="FZD21" s="582"/>
      <c r="FZE21" s="582"/>
      <c r="FZF21" s="582"/>
      <c r="FZG21" s="582"/>
      <c r="FZH21" s="582"/>
      <c r="FZI21" s="582"/>
      <c r="FZJ21" s="582"/>
      <c r="FZK21" s="582"/>
      <c r="FZL21" s="582"/>
      <c r="FZM21" s="582"/>
      <c r="FZN21" s="582"/>
      <c r="FZO21" s="582"/>
      <c r="FZP21" s="582"/>
      <c r="FZQ21" s="582"/>
      <c r="FZR21" s="582"/>
      <c r="FZS21" s="582"/>
      <c r="FZT21" s="582"/>
      <c r="FZU21" s="582"/>
      <c r="FZV21" s="582"/>
      <c r="FZW21" s="582"/>
      <c r="FZX21" s="582"/>
      <c r="FZY21" s="582"/>
      <c r="FZZ21" s="582"/>
      <c r="GAA21" s="582"/>
      <c r="GAB21" s="582"/>
      <c r="GAC21" s="582"/>
      <c r="GAD21" s="582"/>
      <c r="GAE21" s="582"/>
      <c r="GAF21" s="582"/>
      <c r="GAG21" s="582"/>
      <c r="GAH21" s="582"/>
      <c r="GAI21" s="582"/>
      <c r="GAJ21" s="582"/>
      <c r="GAK21" s="582"/>
      <c r="GAL21" s="582"/>
      <c r="GAM21" s="582"/>
      <c r="GAN21" s="582"/>
      <c r="GAO21" s="582"/>
      <c r="GAP21" s="582"/>
      <c r="GAQ21" s="582"/>
      <c r="GAR21" s="582"/>
      <c r="GAS21" s="582"/>
      <c r="GAT21" s="582"/>
      <c r="GAU21" s="582"/>
      <c r="GAV21" s="582"/>
      <c r="GAW21" s="582"/>
      <c r="GAX21" s="582"/>
      <c r="GAY21" s="582"/>
      <c r="GAZ21" s="582"/>
      <c r="GBA21" s="582"/>
      <c r="GBB21" s="582"/>
      <c r="GBC21" s="582"/>
      <c r="GBD21" s="582"/>
      <c r="GBE21" s="582"/>
      <c r="GBF21" s="582"/>
      <c r="GBG21" s="582"/>
      <c r="GBH21" s="582"/>
      <c r="GBI21" s="582"/>
      <c r="GBJ21" s="582"/>
      <c r="GBK21" s="582"/>
      <c r="GBL21" s="582"/>
      <c r="GBM21" s="582"/>
      <c r="GBN21" s="582"/>
      <c r="GBO21" s="582"/>
      <c r="GBP21" s="582"/>
      <c r="GBQ21" s="582"/>
      <c r="GBR21" s="582"/>
      <c r="GBS21" s="582"/>
      <c r="GBT21" s="582"/>
      <c r="GBU21" s="582"/>
      <c r="GBV21" s="582"/>
      <c r="GBW21" s="582"/>
      <c r="GBX21" s="582"/>
      <c r="GBY21" s="582"/>
      <c r="GBZ21" s="582"/>
      <c r="GCA21" s="582"/>
      <c r="GCB21" s="582"/>
      <c r="GCC21" s="582"/>
      <c r="GCD21" s="582"/>
      <c r="GCE21" s="582"/>
      <c r="GCF21" s="582"/>
      <c r="GCG21" s="582"/>
      <c r="GCH21" s="582"/>
      <c r="GCI21" s="582"/>
      <c r="GCJ21" s="582"/>
      <c r="GCK21" s="582"/>
      <c r="GCL21" s="582"/>
      <c r="GCM21" s="582"/>
      <c r="GCN21" s="582"/>
      <c r="GCO21" s="582"/>
      <c r="GCP21" s="582"/>
      <c r="GCQ21" s="582"/>
      <c r="GCR21" s="582"/>
      <c r="GCS21" s="582"/>
      <c r="GCT21" s="582"/>
      <c r="GCU21" s="582"/>
      <c r="GCV21" s="582"/>
      <c r="GCW21" s="582"/>
      <c r="GCX21" s="582"/>
      <c r="GCY21" s="582"/>
      <c r="GCZ21" s="582"/>
      <c r="GDA21" s="582"/>
      <c r="GDB21" s="582"/>
      <c r="GDC21" s="582"/>
      <c r="GDD21" s="582"/>
      <c r="GDE21" s="582"/>
      <c r="GDF21" s="582"/>
      <c r="GDG21" s="582"/>
      <c r="GDH21" s="582"/>
      <c r="GDI21" s="582"/>
      <c r="GDJ21" s="582"/>
      <c r="GDK21" s="582"/>
      <c r="GDL21" s="582"/>
      <c r="GDM21" s="582"/>
      <c r="GDN21" s="582"/>
      <c r="GDO21" s="582"/>
      <c r="GDP21" s="582"/>
      <c r="GDQ21" s="582"/>
      <c r="GDR21" s="582"/>
      <c r="GDS21" s="582"/>
      <c r="GDT21" s="582"/>
      <c r="GDU21" s="582"/>
      <c r="GDV21" s="582"/>
      <c r="GDW21" s="582"/>
      <c r="GDX21" s="582"/>
      <c r="GDY21" s="582"/>
      <c r="GDZ21" s="582"/>
      <c r="GEA21" s="582"/>
      <c r="GEB21" s="582"/>
      <c r="GEC21" s="582"/>
      <c r="GED21" s="582"/>
      <c r="GEE21" s="582"/>
      <c r="GEF21" s="582"/>
      <c r="GEG21" s="582"/>
      <c r="GEH21" s="582"/>
      <c r="GEI21" s="582"/>
      <c r="GEJ21" s="582"/>
      <c r="GEK21" s="582"/>
      <c r="GEL21" s="582"/>
      <c r="GEM21" s="582"/>
      <c r="GEN21" s="582"/>
      <c r="GEO21" s="582"/>
      <c r="GEP21" s="582"/>
      <c r="GEQ21" s="582"/>
      <c r="GER21" s="582"/>
      <c r="GES21" s="582"/>
      <c r="GET21" s="582"/>
      <c r="GEU21" s="582"/>
      <c r="GEV21" s="582"/>
      <c r="GEW21" s="582"/>
      <c r="GEX21" s="582"/>
      <c r="GEY21" s="582"/>
      <c r="GEZ21" s="582"/>
      <c r="GFA21" s="582"/>
      <c r="GFB21" s="582"/>
      <c r="GFC21" s="582"/>
      <c r="GFD21" s="582"/>
      <c r="GFE21" s="582"/>
      <c r="GFF21" s="582"/>
      <c r="GFG21" s="582"/>
      <c r="GFH21" s="582"/>
      <c r="GFI21" s="582"/>
      <c r="GFJ21" s="582"/>
      <c r="GFK21" s="582"/>
      <c r="GFL21" s="582"/>
      <c r="GFM21" s="582"/>
      <c r="GFN21" s="582"/>
      <c r="GFO21" s="582"/>
      <c r="GFP21" s="582"/>
      <c r="GFQ21" s="582"/>
      <c r="GFR21" s="582"/>
      <c r="GFS21" s="582"/>
      <c r="GFT21" s="582"/>
      <c r="GFU21" s="582"/>
      <c r="GFV21" s="582"/>
      <c r="GFW21" s="582"/>
      <c r="GFX21" s="582"/>
      <c r="GFY21" s="582"/>
      <c r="GFZ21" s="582"/>
      <c r="GGA21" s="582"/>
      <c r="GGB21" s="582"/>
      <c r="GGC21" s="582"/>
      <c r="GGD21" s="582"/>
      <c r="GGE21" s="582"/>
      <c r="GGF21" s="582"/>
      <c r="GGG21" s="582"/>
      <c r="GGH21" s="582"/>
      <c r="GGI21" s="582"/>
      <c r="GGJ21" s="582"/>
      <c r="GGK21" s="582"/>
      <c r="GGL21" s="582"/>
      <c r="GGM21" s="582"/>
      <c r="GGN21" s="582"/>
      <c r="GGO21" s="582"/>
      <c r="GGP21" s="582"/>
      <c r="GGQ21" s="582"/>
      <c r="GGR21" s="582"/>
      <c r="GGS21" s="582"/>
      <c r="GGT21" s="582"/>
      <c r="GGU21" s="582"/>
      <c r="GGV21" s="582"/>
      <c r="GGW21" s="582"/>
      <c r="GGX21" s="582"/>
      <c r="GGY21" s="582"/>
      <c r="GGZ21" s="582"/>
      <c r="GHA21" s="582"/>
      <c r="GHB21" s="582"/>
      <c r="GHC21" s="582"/>
      <c r="GHD21" s="582"/>
      <c r="GHE21" s="582"/>
      <c r="GHF21" s="582"/>
      <c r="GHG21" s="582"/>
      <c r="GHH21" s="582"/>
      <c r="GHI21" s="582"/>
      <c r="GHJ21" s="582"/>
      <c r="GHK21" s="582"/>
      <c r="GHL21" s="582"/>
      <c r="GHM21" s="582"/>
      <c r="GHN21" s="582"/>
      <c r="GHO21" s="582"/>
      <c r="GHP21" s="582"/>
      <c r="GHQ21" s="582"/>
      <c r="GHR21" s="582"/>
      <c r="GHS21" s="582"/>
      <c r="GHT21" s="582"/>
      <c r="GHU21" s="582"/>
      <c r="GHV21" s="582"/>
      <c r="GHW21" s="582"/>
      <c r="GHX21" s="582"/>
      <c r="GHY21" s="582"/>
      <c r="GHZ21" s="582"/>
      <c r="GIA21" s="582"/>
      <c r="GIB21" s="582"/>
      <c r="GIC21" s="582"/>
      <c r="GID21" s="582"/>
      <c r="GIE21" s="582"/>
      <c r="GIF21" s="582"/>
      <c r="GIG21" s="582"/>
      <c r="GIH21" s="582"/>
      <c r="GII21" s="582"/>
      <c r="GIJ21" s="582"/>
      <c r="GIK21" s="582"/>
      <c r="GIL21" s="582"/>
      <c r="GIM21" s="582"/>
      <c r="GIN21" s="582"/>
      <c r="GIO21" s="582"/>
      <c r="GIP21" s="582"/>
      <c r="GIQ21" s="582"/>
      <c r="GIR21" s="582"/>
      <c r="GIS21" s="582"/>
      <c r="GIT21" s="582"/>
      <c r="GIU21" s="582"/>
      <c r="GIV21" s="582"/>
      <c r="GIW21" s="582"/>
      <c r="GIX21" s="582"/>
      <c r="GIY21" s="582"/>
      <c r="GIZ21" s="582"/>
      <c r="GJA21" s="582"/>
      <c r="GJB21" s="582"/>
      <c r="GJC21" s="582"/>
      <c r="GJD21" s="582"/>
      <c r="GJE21" s="582"/>
      <c r="GJF21" s="582"/>
      <c r="GJG21" s="582"/>
      <c r="GJH21" s="582"/>
      <c r="GJI21" s="582"/>
      <c r="GJJ21" s="582"/>
      <c r="GJK21" s="582"/>
      <c r="GJL21" s="582"/>
      <c r="GJM21" s="582"/>
      <c r="GJN21" s="582"/>
      <c r="GJO21" s="582"/>
      <c r="GJP21" s="582"/>
      <c r="GJQ21" s="582"/>
      <c r="GJR21" s="582"/>
      <c r="GJS21" s="582"/>
      <c r="GJT21" s="582"/>
      <c r="GJU21" s="582"/>
      <c r="GJV21" s="582"/>
      <c r="GJW21" s="582"/>
      <c r="GJX21" s="582"/>
      <c r="GJY21" s="582"/>
      <c r="GJZ21" s="582"/>
      <c r="GKA21" s="582"/>
      <c r="GKB21" s="582"/>
      <c r="GKC21" s="582"/>
      <c r="GKD21" s="582"/>
      <c r="GKE21" s="582"/>
      <c r="GKF21" s="582"/>
      <c r="GKG21" s="582"/>
      <c r="GKH21" s="582"/>
      <c r="GKI21" s="582"/>
      <c r="GKJ21" s="582"/>
      <c r="GKK21" s="582"/>
      <c r="GKL21" s="582"/>
      <c r="GKM21" s="582"/>
      <c r="GKN21" s="582"/>
      <c r="GKO21" s="582"/>
      <c r="GKP21" s="582"/>
      <c r="GKQ21" s="582"/>
      <c r="GKR21" s="582"/>
      <c r="GKS21" s="582"/>
      <c r="GKT21" s="582"/>
      <c r="GKU21" s="582"/>
      <c r="GKV21" s="582"/>
      <c r="GKW21" s="582"/>
      <c r="GKX21" s="582"/>
      <c r="GKY21" s="582"/>
      <c r="GKZ21" s="582"/>
      <c r="GLA21" s="582"/>
      <c r="GLB21" s="582"/>
      <c r="GLC21" s="582"/>
      <c r="GLD21" s="582"/>
      <c r="GLE21" s="582"/>
      <c r="GLF21" s="582"/>
      <c r="GLG21" s="582"/>
      <c r="GLH21" s="582"/>
      <c r="GLI21" s="582"/>
      <c r="GLJ21" s="582"/>
      <c r="GLK21" s="582"/>
      <c r="GLL21" s="582"/>
      <c r="GLM21" s="582"/>
      <c r="GLN21" s="582"/>
      <c r="GLO21" s="582"/>
      <c r="GLP21" s="582"/>
      <c r="GLQ21" s="582"/>
      <c r="GLR21" s="582"/>
      <c r="GLS21" s="582"/>
      <c r="GLT21" s="582"/>
      <c r="GLU21" s="582"/>
      <c r="GLV21" s="582"/>
      <c r="GLW21" s="582"/>
      <c r="GLX21" s="582"/>
      <c r="GLY21" s="582"/>
      <c r="GLZ21" s="582"/>
      <c r="GMA21" s="582"/>
      <c r="GMB21" s="582"/>
      <c r="GMC21" s="582"/>
      <c r="GMD21" s="582"/>
      <c r="GME21" s="582"/>
      <c r="GMF21" s="582"/>
      <c r="GMG21" s="582"/>
      <c r="GMH21" s="582"/>
      <c r="GMI21" s="582"/>
      <c r="GMJ21" s="582"/>
      <c r="GMK21" s="582"/>
      <c r="GML21" s="582"/>
      <c r="GMM21" s="582"/>
      <c r="GMN21" s="582"/>
      <c r="GMO21" s="582"/>
      <c r="GMP21" s="582"/>
      <c r="GMQ21" s="582"/>
      <c r="GMR21" s="582"/>
      <c r="GMS21" s="582"/>
      <c r="GMT21" s="582"/>
      <c r="GMU21" s="582"/>
      <c r="GMV21" s="582"/>
      <c r="GMW21" s="582"/>
      <c r="GMX21" s="582"/>
      <c r="GMY21" s="582"/>
      <c r="GMZ21" s="582"/>
      <c r="GNA21" s="582"/>
      <c r="GNB21" s="582"/>
      <c r="GNC21" s="582"/>
      <c r="GND21" s="582"/>
      <c r="GNE21" s="582"/>
      <c r="GNF21" s="582"/>
      <c r="GNG21" s="582"/>
      <c r="GNH21" s="582"/>
      <c r="GNI21" s="582"/>
      <c r="GNJ21" s="582"/>
      <c r="GNK21" s="582"/>
      <c r="GNL21" s="582"/>
      <c r="GNM21" s="582"/>
      <c r="GNN21" s="582"/>
      <c r="GNO21" s="582"/>
      <c r="GNP21" s="582"/>
      <c r="GNQ21" s="582"/>
      <c r="GNR21" s="582"/>
      <c r="GNS21" s="582"/>
      <c r="GNT21" s="582"/>
      <c r="GNU21" s="582"/>
      <c r="GNV21" s="582"/>
      <c r="GNW21" s="582"/>
      <c r="GNX21" s="582"/>
      <c r="GNY21" s="582"/>
      <c r="GNZ21" s="582"/>
      <c r="GOA21" s="582"/>
      <c r="GOB21" s="582"/>
      <c r="GOC21" s="582"/>
      <c r="GOD21" s="582"/>
      <c r="GOE21" s="582"/>
      <c r="GOF21" s="582"/>
      <c r="GOG21" s="582"/>
      <c r="GOH21" s="582"/>
      <c r="GOI21" s="582"/>
      <c r="GOJ21" s="582"/>
      <c r="GOK21" s="582"/>
      <c r="GOL21" s="582"/>
      <c r="GOM21" s="582"/>
      <c r="GON21" s="582"/>
      <c r="GOO21" s="582"/>
      <c r="GOP21" s="582"/>
      <c r="GOQ21" s="582"/>
      <c r="GOR21" s="582"/>
      <c r="GOS21" s="582"/>
      <c r="GOT21" s="582"/>
      <c r="GOU21" s="582"/>
      <c r="GOV21" s="582"/>
      <c r="GOW21" s="582"/>
      <c r="GOX21" s="582"/>
      <c r="GOY21" s="582"/>
      <c r="GOZ21" s="582"/>
      <c r="GPA21" s="582"/>
      <c r="GPB21" s="582"/>
      <c r="GPC21" s="582"/>
      <c r="GPD21" s="582"/>
      <c r="GPE21" s="582"/>
      <c r="GPF21" s="582"/>
      <c r="GPG21" s="582"/>
      <c r="GPH21" s="582"/>
      <c r="GPI21" s="582"/>
      <c r="GPJ21" s="582"/>
      <c r="GPK21" s="582"/>
      <c r="GPL21" s="582"/>
      <c r="GPM21" s="582"/>
      <c r="GPN21" s="582"/>
      <c r="GPO21" s="582"/>
      <c r="GPP21" s="582"/>
      <c r="GPQ21" s="582"/>
      <c r="GPR21" s="582"/>
      <c r="GPS21" s="582"/>
      <c r="GPT21" s="582"/>
      <c r="GPU21" s="582"/>
      <c r="GPV21" s="582"/>
      <c r="GPW21" s="582"/>
      <c r="GPX21" s="582"/>
      <c r="GPY21" s="582"/>
      <c r="GPZ21" s="582"/>
      <c r="GQA21" s="582"/>
      <c r="GQB21" s="582"/>
      <c r="GQC21" s="582"/>
      <c r="GQD21" s="582"/>
      <c r="GQE21" s="582"/>
      <c r="GQF21" s="582"/>
      <c r="GQG21" s="582"/>
      <c r="GQH21" s="582"/>
      <c r="GQI21" s="582"/>
      <c r="GQJ21" s="582"/>
      <c r="GQK21" s="582"/>
      <c r="GQL21" s="582"/>
      <c r="GQM21" s="582"/>
      <c r="GQN21" s="582"/>
      <c r="GQO21" s="582"/>
      <c r="GQP21" s="582"/>
      <c r="GQQ21" s="582"/>
      <c r="GQR21" s="582"/>
      <c r="GQS21" s="582"/>
      <c r="GQT21" s="582"/>
      <c r="GQU21" s="582"/>
      <c r="GQV21" s="582"/>
      <c r="GQW21" s="582"/>
      <c r="GQX21" s="582"/>
      <c r="GQY21" s="582"/>
      <c r="GQZ21" s="582"/>
      <c r="GRA21" s="582"/>
      <c r="GRB21" s="582"/>
      <c r="GRC21" s="582"/>
      <c r="GRD21" s="582"/>
      <c r="GRE21" s="582"/>
      <c r="GRF21" s="582"/>
      <c r="GRG21" s="582"/>
      <c r="GRH21" s="582"/>
      <c r="GRI21" s="582"/>
      <c r="GRJ21" s="582"/>
      <c r="GRK21" s="582"/>
      <c r="GRL21" s="582"/>
      <c r="GRM21" s="582"/>
      <c r="GRN21" s="582"/>
      <c r="GRO21" s="582"/>
      <c r="GRP21" s="582"/>
      <c r="GRQ21" s="582"/>
      <c r="GRR21" s="582"/>
      <c r="GRS21" s="582"/>
      <c r="GRT21" s="582"/>
      <c r="GRU21" s="582"/>
      <c r="GRV21" s="582"/>
      <c r="GRW21" s="582"/>
      <c r="GRX21" s="582"/>
      <c r="GRY21" s="582"/>
      <c r="GRZ21" s="582"/>
      <c r="GSA21" s="582"/>
      <c r="GSB21" s="582"/>
      <c r="GSC21" s="582"/>
      <c r="GSD21" s="582"/>
      <c r="GSE21" s="582"/>
      <c r="GSF21" s="582"/>
      <c r="GSG21" s="582"/>
      <c r="GSH21" s="582"/>
      <c r="GSI21" s="582"/>
      <c r="GSJ21" s="582"/>
      <c r="GSK21" s="582"/>
      <c r="GSL21" s="582"/>
      <c r="GSM21" s="582"/>
      <c r="GSN21" s="582"/>
      <c r="GSO21" s="582"/>
      <c r="GSP21" s="582"/>
      <c r="GSQ21" s="582"/>
      <c r="GSR21" s="582"/>
      <c r="GSS21" s="582"/>
      <c r="GST21" s="582"/>
      <c r="GSU21" s="582"/>
      <c r="GSV21" s="582"/>
      <c r="GSW21" s="582"/>
      <c r="GSX21" s="582"/>
      <c r="GSY21" s="582"/>
      <c r="GSZ21" s="582"/>
      <c r="GTA21" s="582"/>
      <c r="GTB21" s="582"/>
      <c r="GTC21" s="582"/>
      <c r="GTD21" s="582"/>
      <c r="GTE21" s="582"/>
      <c r="GTF21" s="582"/>
      <c r="GTG21" s="582"/>
      <c r="GTH21" s="582"/>
      <c r="GTI21" s="582"/>
      <c r="GTJ21" s="582"/>
      <c r="GTK21" s="582"/>
      <c r="GTL21" s="582"/>
      <c r="GTM21" s="582"/>
      <c r="GTN21" s="582"/>
      <c r="GTO21" s="582"/>
      <c r="GTP21" s="582"/>
      <c r="GTQ21" s="582"/>
      <c r="GTR21" s="582"/>
      <c r="GTS21" s="582"/>
      <c r="GTT21" s="582"/>
      <c r="GTU21" s="582"/>
      <c r="GTV21" s="582"/>
      <c r="GTW21" s="582"/>
      <c r="GTX21" s="582"/>
      <c r="GTY21" s="582"/>
      <c r="GTZ21" s="582"/>
      <c r="GUA21" s="582"/>
      <c r="GUB21" s="582"/>
      <c r="GUC21" s="582"/>
    </row>
    <row r="22" spans="1:5281" ht="19.5" customHeight="1" thickBot="1">
      <c r="A22" s="594">
        <v>3</v>
      </c>
      <c r="B22" s="595" t="s">
        <v>772</v>
      </c>
      <c r="C22" s="610">
        <v>1678011.1880000001</v>
      </c>
      <c r="D22" s="611">
        <v>0</v>
      </c>
      <c r="E22" s="611">
        <v>10729.5</v>
      </c>
      <c r="F22" s="598">
        <f t="shared" si="1"/>
        <v>1688740.6880000001</v>
      </c>
      <c r="G22" s="582"/>
      <c r="H22" s="614"/>
      <c r="I22" s="614"/>
      <c r="J22" s="614"/>
      <c r="K22" s="582"/>
      <c r="L22" s="582"/>
      <c r="M22" s="582"/>
      <c r="N22" s="582"/>
      <c r="O22" s="582"/>
      <c r="P22" s="582"/>
      <c r="Q22" s="582"/>
      <c r="R22" s="582"/>
      <c r="S22" s="582"/>
      <c r="T22" s="582"/>
      <c r="U22" s="582"/>
      <c r="V22" s="582"/>
      <c r="W22" s="582"/>
      <c r="X22" s="582"/>
      <c r="Y22" s="582"/>
      <c r="Z22" s="582"/>
      <c r="AA22" s="582"/>
      <c r="AB22" s="582"/>
      <c r="AC22" s="582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2"/>
      <c r="AQ22" s="582"/>
      <c r="AR22" s="582"/>
      <c r="AS22" s="582"/>
      <c r="AT22" s="582"/>
      <c r="AU22" s="582"/>
      <c r="AV22" s="582"/>
      <c r="AW22" s="582"/>
      <c r="AX22" s="582"/>
      <c r="AY22" s="582"/>
      <c r="AZ22" s="582"/>
      <c r="BA22" s="582"/>
      <c r="BB22" s="582"/>
      <c r="BC22" s="582"/>
      <c r="BD22" s="582"/>
      <c r="BE22" s="582"/>
      <c r="BF22" s="582"/>
      <c r="BG22" s="582"/>
      <c r="BH22" s="582"/>
      <c r="BI22" s="582"/>
      <c r="BJ22" s="582"/>
      <c r="BK22" s="582"/>
      <c r="BL22" s="582"/>
      <c r="BM22" s="582"/>
      <c r="BN22" s="582"/>
      <c r="BO22" s="582"/>
      <c r="BP22" s="582"/>
      <c r="BQ22" s="582"/>
      <c r="BR22" s="582"/>
      <c r="BS22" s="582"/>
      <c r="BT22" s="582"/>
      <c r="BU22" s="582"/>
      <c r="BV22" s="582"/>
      <c r="BW22" s="582"/>
      <c r="BX22" s="582"/>
      <c r="BY22" s="582"/>
      <c r="BZ22" s="582"/>
      <c r="CA22" s="582"/>
      <c r="CB22" s="582"/>
      <c r="CC22" s="582"/>
      <c r="CD22" s="582"/>
      <c r="CE22" s="582"/>
      <c r="CF22" s="582"/>
      <c r="CG22" s="582"/>
      <c r="CH22" s="582"/>
      <c r="CI22" s="582"/>
      <c r="CJ22" s="582"/>
      <c r="CK22" s="582"/>
      <c r="CL22" s="582"/>
      <c r="CM22" s="582"/>
      <c r="CN22" s="582"/>
      <c r="CO22" s="582"/>
      <c r="CP22" s="582"/>
      <c r="CQ22" s="582"/>
      <c r="CR22" s="582"/>
      <c r="CS22" s="582"/>
      <c r="CT22" s="582"/>
      <c r="CU22" s="582"/>
      <c r="CV22" s="582"/>
      <c r="CW22" s="582"/>
      <c r="CX22" s="582"/>
      <c r="CY22" s="582"/>
      <c r="CZ22" s="582"/>
      <c r="DA22" s="582"/>
      <c r="DB22" s="582"/>
      <c r="DC22" s="582"/>
      <c r="DD22" s="582"/>
      <c r="DE22" s="582"/>
      <c r="DF22" s="582"/>
      <c r="DG22" s="582"/>
      <c r="DH22" s="582"/>
      <c r="DI22" s="582"/>
      <c r="DJ22" s="582"/>
      <c r="DK22" s="582"/>
      <c r="DL22" s="582"/>
      <c r="DM22" s="582"/>
      <c r="DN22" s="582"/>
      <c r="DO22" s="582"/>
      <c r="DP22" s="582"/>
      <c r="DQ22" s="582"/>
      <c r="DR22" s="582"/>
      <c r="DS22" s="582"/>
      <c r="DT22" s="582"/>
      <c r="DU22" s="582"/>
      <c r="DV22" s="582"/>
      <c r="DW22" s="582"/>
      <c r="DX22" s="582"/>
      <c r="DY22" s="582"/>
      <c r="DZ22" s="582"/>
      <c r="EA22" s="582"/>
      <c r="EB22" s="582"/>
      <c r="EC22" s="582"/>
      <c r="ED22" s="582"/>
      <c r="EE22" s="582"/>
      <c r="EF22" s="582"/>
      <c r="EG22" s="582"/>
      <c r="EH22" s="582"/>
      <c r="EI22" s="582"/>
      <c r="EJ22" s="582"/>
      <c r="EK22" s="582"/>
      <c r="EL22" s="582"/>
      <c r="EM22" s="582"/>
      <c r="EN22" s="582"/>
      <c r="EO22" s="582"/>
      <c r="EP22" s="582"/>
      <c r="EQ22" s="582"/>
      <c r="ER22" s="582"/>
      <c r="ES22" s="582"/>
      <c r="ET22" s="582"/>
      <c r="EU22" s="582"/>
      <c r="EV22" s="582"/>
      <c r="EW22" s="582"/>
      <c r="EX22" s="582"/>
      <c r="EY22" s="582"/>
      <c r="EZ22" s="582"/>
      <c r="FA22" s="582"/>
      <c r="FB22" s="582"/>
      <c r="FC22" s="582"/>
      <c r="FD22" s="582"/>
      <c r="FE22" s="582"/>
      <c r="FF22" s="582"/>
      <c r="FG22" s="582"/>
      <c r="FH22" s="582"/>
      <c r="FI22" s="582"/>
      <c r="FJ22" s="582"/>
      <c r="FK22" s="582"/>
      <c r="FL22" s="582"/>
      <c r="FM22" s="582"/>
      <c r="FN22" s="582"/>
      <c r="FO22" s="582"/>
      <c r="FP22" s="582"/>
      <c r="FQ22" s="582"/>
      <c r="FR22" s="582"/>
      <c r="FS22" s="582"/>
      <c r="FT22" s="582"/>
      <c r="FU22" s="582"/>
      <c r="FV22" s="582"/>
      <c r="FW22" s="582"/>
      <c r="FX22" s="582"/>
      <c r="FY22" s="582"/>
      <c r="FZ22" s="582"/>
      <c r="GA22" s="582"/>
      <c r="GB22" s="582"/>
      <c r="GC22" s="582"/>
      <c r="GD22" s="582"/>
      <c r="GE22" s="582"/>
      <c r="GF22" s="582"/>
      <c r="GG22" s="582"/>
      <c r="GH22" s="582"/>
      <c r="GI22" s="582"/>
      <c r="GJ22" s="582"/>
      <c r="GK22" s="582"/>
      <c r="GL22" s="582"/>
      <c r="GM22" s="582"/>
      <c r="GN22" s="582"/>
      <c r="GO22" s="582"/>
      <c r="GP22" s="582"/>
      <c r="GQ22" s="582"/>
      <c r="GR22" s="582"/>
      <c r="GS22" s="582"/>
      <c r="GT22" s="582"/>
      <c r="GU22" s="582"/>
      <c r="GV22" s="582"/>
      <c r="GW22" s="582"/>
      <c r="GX22" s="582"/>
      <c r="GY22" s="582"/>
      <c r="GZ22" s="582"/>
      <c r="HA22" s="582"/>
      <c r="HB22" s="582"/>
      <c r="HC22" s="582"/>
      <c r="HD22" s="582"/>
      <c r="HE22" s="582"/>
      <c r="HF22" s="582"/>
      <c r="HG22" s="582"/>
      <c r="HH22" s="582"/>
      <c r="HI22" s="582"/>
      <c r="HJ22" s="582"/>
      <c r="HK22" s="582"/>
      <c r="HL22" s="582"/>
      <c r="HM22" s="582"/>
      <c r="HN22" s="582"/>
      <c r="HO22" s="582"/>
      <c r="HP22" s="582"/>
      <c r="HQ22" s="582"/>
      <c r="HR22" s="582"/>
      <c r="HS22" s="582"/>
      <c r="HT22" s="582"/>
      <c r="HU22" s="582"/>
      <c r="HV22" s="582"/>
      <c r="HW22" s="582"/>
      <c r="HX22" s="582"/>
      <c r="HY22" s="582"/>
      <c r="HZ22" s="582"/>
      <c r="IA22" s="582"/>
      <c r="IB22" s="582"/>
      <c r="IC22" s="582"/>
      <c r="ID22" s="582"/>
      <c r="IE22" s="582"/>
      <c r="IF22" s="582"/>
      <c r="IG22" s="582"/>
      <c r="IH22" s="582"/>
      <c r="II22" s="582"/>
      <c r="IJ22" s="582"/>
      <c r="IK22" s="582"/>
      <c r="IL22" s="582"/>
      <c r="IM22" s="582"/>
      <c r="IN22" s="582"/>
      <c r="IO22" s="582"/>
      <c r="IP22" s="582"/>
      <c r="IQ22" s="582"/>
      <c r="IR22" s="582"/>
      <c r="IS22" s="582"/>
      <c r="IT22" s="582"/>
      <c r="IU22" s="582"/>
      <c r="IV22" s="582"/>
      <c r="IW22" s="582"/>
      <c r="IX22" s="582"/>
      <c r="IY22" s="582"/>
      <c r="IZ22" s="582"/>
      <c r="JA22" s="582"/>
      <c r="JB22" s="582"/>
      <c r="JC22" s="582"/>
      <c r="JD22" s="582"/>
      <c r="JE22" s="582"/>
      <c r="JF22" s="582"/>
      <c r="JG22" s="582"/>
      <c r="JH22" s="582"/>
      <c r="JI22" s="582"/>
      <c r="JJ22" s="582"/>
      <c r="JK22" s="582"/>
      <c r="JL22" s="582"/>
      <c r="JM22" s="582"/>
      <c r="JN22" s="582"/>
      <c r="JO22" s="582"/>
      <c r="JP22" s="582"/>
      <c r="JQ22" s="582"/>
      <c r="JR22" s="582"/>
      <c r="JS22" s="582"/>
      <c r="JT22" s="582"/>
      <c r="JU22" s="582"/>
      <c r="JV22" s="582"/>
      <c r="JW22" s="582"/>
      <c r="JX22" s="582"/>
      <c r="JY22" s="582"/>
      <c r="JZ22" s="582"/>
      <c r="KA22" s="582"/>
      <c r="KB22" s="582"/>
      <c r="KC22" s="582"/>
      <c r="KD22" s="582"/>
      <c r="KE22" s="582"/>
      <c r="KF22" s="582"/>
      <c r="KG22" s="582"/>
      <c r="KH22" s="582"/>
      <c r="KI22" s="582"/>
      <c r="KJ22" s="582"/>
      <c r="KK22" s="582"/>
      <c r="KL22" s="582"/>
      <c r="KM22" s="582"/>
      <c r="KN22" s="582"/>
      <c r="KO22" s="582"/>
      <c r="KP22" s="582"/>
      <c r="KQ22" s="582"/>
      <c r="KR22" s="582"/>
      <c r="KS22" s="582"/>
      <c r="KT22" s="582"/>
      <c r="KU22" s="582"/>
      <c r="KV22" s="582"/>
      <c r="KW22" s="582"/>
      <c r="KX22" s="582"/>
      <c r="KY22" s="582"/>
      <c r="KZ22" s="582"/>
      <c r="LA22" s="582"/>
      <c r="LB22" s="582"/>
      <c r="LC22" s="582"/>
      <c r="LD22" s="582"/>
      <c r="LE22" s="582"/>
      <c r="LF22" s="582"/>
      <c r="LG22" s="582"/>
      <c r="LH22" s="582"/>
      <c r="LI22" s="582"/>
      <c r="LJ22" s="582"/>
      <c r="LK22" s="582"/>
      <c r="LL22" s="582"/>
      <c r="LM22" s="582"/>
      <c r="LN22" s="582"/>
      <c r="LO22" s="582"/>
      <c r="LP22" s="582"/>
      <c r="LQ22" s="582"/>
      <c r="LR22" s="582"/>
      <c r="LS22" s="582"/>
      <c r="LT22" s="582"/>
      <c r="LU22" s="582"/>
      <c r="LV22" s="582"/>
      <c r="LW22" s="582"/>
      <c r="LX22" s="582"/>
      <c r="LY22" s="582"/>
      <c r="LZ22" s="582"/>
      <c r="MA22" s="582"/>
      <c r="MB22" s="582"/>
      <c r="MC22" s="582"/>
      <c r="MD22" s="582"/>
      <c r="ME22" s="582"/>
      <c r="MF22" s="582"/>
      <c r="MG22" s="582"/>
      <c r="MH22" s="582"/>
      <c r="MI22" s="582"/>
      <c r="MJ22" s="582"/>
      <c r="MK22" s="582"/>
      <c r="ML22" s="582"/>
      <c r="MM22" s="582"/>
      <c r="MN22" s="582"/>
      <c r="MO22" s="582"/>
      <c r="MP22" s="582"/>
      <c r="MQ22" s="582"/>
      <c r="MR22" s="582"/>
      <c r="MS22" s="582"/>
      <c r="MT22" s="582"/>
      <c r="MU22" s="582"/>
      <c r="MV22" s="582"/>
      <c r="MW22" s="582"/>
      <c r="MX22" s="582"/>
      <c r="MY22" s="582"/>
      <c r="MZ22" s="582"/>
      <c r="NA22" s="582"/>
      <c r="NB22" s="582"/>
      <c r="NC22" s="582"/>
      <c r="ND22" s="582"/>
      <c r="NE22" s="582"/>
      <c r="NF22" s="582"/>
      <c r="NG22" s="582"/>
      <c r="NH22" s="582"/>
      <c r="NI22" s="582"/>
      <c r="NJ22" s="582"/>
      <c r="NK22" s="582"/>
      <c r="NL22" s="582"/>
      <c r="NM22" s="582"/>
      <c r="NN22" s="582"/>
      <c r="NO22" s="582"/>
      <c r="NP22" s="582"/>
      <c r="NQ22" s="582"/>
      <c r="NR22" s="582"/>
      <c r="NS22" s="582"/>
      <c r="NT22" s="582"/>
      <c r="NU22" s="582"/>
      <c r="NV22" s="582"/>
      <c r="NW22" s="582"/>
      <c r="NX22" s="582"/>
      <c r="NY22" s="582"/>
      <c r="NZ22" s="582"/>
      <c r="OA22" s="582"/>
      <c r="OB22" s="582"/>
      <c r="OC22" s="582"/>
      <c r="OD22" s="582"/>
      <c r="OE22" s="582"/>
      <c r="OF22" s="582"/>
      <c r="OG22" s="582"/>
      <c r="OH22" s="582"/>
      <c r="OI22" s="582"/>
      <c r="OJ22" s="582"/>
      <c r="OK22" s="582"/>
      <c r="OL22" s="582"/>
      <c r="OM22" s="582"/>
      <c r="ON22" s="582"/>
      <c r="OO22" s="582"/>
      <c r="OP22" s="582"/>
      <c r="OQ22" s="582"/>
      <c r="OR22" s="582"/>
      <c r="OS22" s="582"/>
      <c r="OT22" s="582"/>
      <c r="OU22" s="582"/>
      <c r="OV22" s="582"/>
      <c r="OW22" s="582"/>
      <c r="OX22" s="582"/>
      <c r="OY22" s="582"/>
      <c r="OZ22" s="582"/>
      <c r="PA22" s="582"/>
      <c r="PB22" s="582"/>
      <c r="PC22" s="582"/>
      <c r="PD22" s="582"/>
      <c r="PE22" s="582"/>
      <c r="PF22" s="582"/>
      <c r="PG22" s="582"/>
      <c r="PH22" s="582"/>
      <c r="PI22" s="582"/>
      <c r="PJ22" s="582"/>
      <c r="PK22" s="582"/>
      <c r="PL22" s="582"/>
      <c r="PM22" s="582"/>
      <c r="PN22" s="582"/>
      <c r="PO22" s="582"/>
      <c r="PP22" s="582"/>
      <c r="PQ22" s="582"/>
      <c r="PR22" s="582"/>
      <c r="PS22" s="582"/>
      <c r="PT22" s="582"/>
      <c r="PU22" s="582"/>
      <c r="PV22" s="582"/>
      <c r="PW22" s="582"/>
      <c r="PX22" s="582"/>
      <c r="PY22" s="582"/>
      <c r="PZ22" s="582"/>
      <c r="QA22" s="582"/>
      <c r="QB22" s="582"/>
      <c r="QC22" s="582"/>
      <c r="QD22" s="582"/>
      <c r="QE22" s="582"/>
      <c r="QF22" s="582"/>
      <c r="QG22" s="582"/>
      <c r="QH22" s="582"/>
      <c r="QI22" s="582"/>
      <c r="QJ22" s="582"/>
      <c r="QK22" s="582"/>
      <c r="QL22" s="582"/>
      <c r="QM22" s="582"/>
      <c r="QN22" s="582"/>
      <c r="QO22" s="582"/>
      <c r="QP22" s="582"/>
      <c r="QQ22" s="582"/>
      <c r="QR22" s="582"/>
      <c r="QS22" s="582"/>
      <c r="QT22" s="582"/>
      <c r="QU22" s="582"/>
      <c r="QV22" s="582"/>
      <c r="QW22" s="582"/>
      <c r="QX22" s="582"/>
      <c r="QY22" s="582"/>
      <c r="QZ22" s="582"/>
      <c r="RA22" s="582"/>
      <c r="RB22" s="582"/>
      <c r="RC22" s="582"/>
      <c r="RD22" s="582"/>
      <c r="RE22" s="582"/>
      <c r="RF22" s="582"/>
      <c r="RG22" s="582"/>
      <c r="RH22" s="582"/>
      <c r="RI22" s="582"/>
      <c r="RJ22" s="582"/>
      <c r="RK22" s="582"/>
      <c r="RL22" s="582"/>
      <c r="RM22" s="582"/>
      <c r="RN22" s="582"/>
      <c r="RO22" s="582"/>
      <c r="RP22" s="582"/>
      <c r="RQ22" s="582"/>
      <c r="RR22" s="582"/>
      <c r="RS22" s="582"/>
      <c r="RT22" s="582"/>
      <c r="RU22" s="582"/>
      <c r="RV22" s="582"/>
      <c r="RW22" s="582"/>
      <c r="RX22" s="582"/>
      <c r="RY22" s="582"/>
      <c r="RZ22" s="582"/>
      <c r="SA22" s="582"/>
      <c r="SB22" s="582"/>
      <c r="SC22" s="582"/>
      <c r="SD22" s="582"/>
      <c r="SE22" s="582"/>
      <c r="SF22" s="582"/>
      <c r="SG22" s="582"/>
      <c r="SH22" s="582"/>
      <c r="SI22" s="582"/>
      <c r="SJ22" s="582"/>
      <c r="SK22" s="582"/>
      <c r="SL22" s="582"/>
      <c r="SM22" s="582"/>
      <c r="SN22" s="582"/>
      <c r="SO22" s="582"/>
      <c r="SP22" s="582"/>
      <c r="SQ22" s="582"/>
      <c r="SR22" s="582"/>
      <c r="SS22" s="582"/>
      <c r="ST22" s="582"/>
      <c r="SU22" s="582"/>
      <c r="SV22" s="582"/>
      <c r="SW22" s="582"/>
      <c r="SX22" s="582"/>
      <c r="SY22" s="582"/>
      <c r="SZ22" s="582"/>
      <c r="TA22" s="582"/>
      <c r="TB22" s="582"/>
      <c r="TC22" s="582"/>
      <c r="TD22" s="582"/>
      <c r="TE22" s="582"/>
      <c r="TF22" s="582"/>
      <c r="TG22" s="582"/>
      <c r="TH22" s="582"/>
      <c r="TI22" s="582"/>
      <c r="TJ22" s="582"/>
      <c r="TK22" s="582"/>
      <c r="TL22" s="582"/>
      <c r="TM22" s="582"/>
      <c r="TN22" s="582"/>
      <c r="TO22" s="582"/>
      <c r="TP22" s="582"/>
      <c r="TQ22" s="582"/>
      <c r="TR22" s="582"/>
      <c r="TS22" s="582"/>
      <c r="TT22" s="582"/>
      <c r="TU22" s="582"/>
      <c r="TV22" s="582"/>
      <c r="TW22" s="582"/>
      <c r="TX22" s="582"/>
      <c r="TY22" s="582"/>
      <c r="TZ22" s="582"/>
      <c r="UA22" s="582"/>
      <c r="UB22" s="582"/>
      <c r="UC22" s="582"/>
      <c r="UD22" s="582"/>
      <c r="UE22" s="582"/>
      <c r="UF22" s="582"/>
      <c r="UG22" s="582"/>
      <c r="UH22" s="582"/>
      <c r="UI22" s="582"/>
      <c r="UJ22" s="582"/>
      <c r="UK22" s="582"/>
      <c r="UL22" s="582"/>
      <c r="UM22" s="582"/>
      <c r="UN22" s="582"/>
      <c r="UO22" s="582"/>
      <c r="UP22" s="582"/>
      <c r="UQ22" s="582"/>
      <c r="UR22" s="582"/>
      <c r="US22" s="582"/>
      <c r="UT22" s="582"/>
      <c r="UU22" s="582"/>
      <c r="UV22" s="582"/>
      <c r="UW22" s="582"/>
      <c r="UX22" s="582"/>
      <c r="UY22" s="582"/>
      <c r="UZ22" s="582"/>
      <c r="VA22" s="582"/>
      <c r="VB22" s="582"/>
      <c r="VC22" s="582"/>
      <c r="VD22" s="582"/>
      <c r="VE22" s="582"/>
      <c r="VF22" s="582"/>
      <c r="VG22" s="582"/>
      <c r="VH22" s="582"/>
      <c r="VI22" s="582"/>
      <c r="VJ22" s="582"/>
      <c r="VK22" s="582"/>
      <c r="VL22" s="582"/>
      <c r="VM22" s="582"/>
      <c r="VN22" s="582"/>
      <c r="VO22" s="582"/>
      <c r="VP22" s="582"/>
      <c r="VQ22" s="582"/>
      <c r="VR22" s="582"/>
      <c r="VS22" s="582"/>
      <c r="VT22" s="582"/>
      <c r="VU22" s="582"/>
      <c r="VV22" s="582"/>
      <c r="VW22" s="582"/>
      <c r="VX22" s="582"/>
      <c r="VY22" s="582"/>
      <c r="VZ22" s="582"/>
      <c r="WA22" s="582"/>
      <c r="WB22" s="582"/>
      <c r="WC22" s="582"/>
      <c r="WD22" s="582"/>
      <c r="WE22" s="582"/>
      <c r="WF22" s="582"/>
      <c r="WG22" s="582"/>
      <c r="WH22" s="582"/>
      <c r="WI22" s="582"/>
      <c r="WJ22" s="582"/>
      <c r="WK22" s="582"/>
      <c r="WL22" s="582"/>
      <c r="WM22" s="582"/>
      <c r="WN22" s="582"/>
      <c r="WO22" s="582"/>
      <c r="WP22" s="582"/>
      <c r="WQ22" s="582"/>
      <c r="WR22" s="582"/>
      <c r="WS22" s="582"/>
      <c r="WT22" s="582"/>
      <c r="WU22" s="582"/>
      <c r="WV22" s="582"/>
      <c r="WW22" s="582"/>
      <c r="WX22" s="582"/>
      <c r="WY22" s="582"/>
      <c r="WZ22" s="582"/>
      <c r="XA22" s="582"/>
      <c r="XB22" s="582"/>
      <c r="XC22" s="582"/>
      <c r="XD22" s="582"/>
      <c r="XE22" s="582"/>
      <c r="XF22" s="582"/>
      <c r="XG22" s="582"/>
      <c r="XH22" s="582"/>
      <c r="XI22" s="582"/>
      <c r="XJ22" s="582"/>
      <c r="XK22" s="582"/>
      <c r="XL22" s="582"/>
      <c r="XM22" s="582"/>
      <c r="XN22" s="582"/>
      <c r="XO22" s="582"/>
      <c r="XP22" s="582"/>
      <c r="XQ22" s="582"/>
      <c r="XR22" s="582"/>
      <c r="XS22" s="582"/>
      <c r="XT22" s="582"/>
      <c r="XU22" s="582"/>
      <c r="XV22" s="582"/>
      <c r="XW22" s="582"/>
      <c r="XX22" s="582"/>
      <c r="XY22" s="582"/>
      <c r="XZ22" s="582"/>
      <c r="YA22" s="582"/>
      <c r="YB22" s="582"/>
      <c r="YC22" s="582"/>
      <c r="YD22" s="582"/>
      <c r="YE22" s="582"/>
      <c r="YF22" s="582"/>
      <c r="YG22" s="582"/>
      <c r="YH22" s="582"/>
      <c r="YI22" s="582"/>
      <c r="YJ22" s="582"/>
      <c r="YK22" s="582"/>
      <c r="YL22" s="582"/>
      <c r="YM22" s="582"/>
      <c r="YN22" s="582"/>
      <c r="YO22" s="582"/>
      <c r="YP22" s="582"/>
      <c r="YQ22" s="582"/>
      <c r="YR22" s="582"/>
      <c r="YS22" s="582"/>
      <c r="YT22" s="582"/>
      <c r="YU22" s="582"/>
      <c r="YV22" s="582"/>
      <c r="YW22" s="582"/>
      <c r="YX22" s="582"/>
      <c r="YY22" s="582"/>
      <c r="YZ22" s="582"/>
      <c r="ZA22" s="582"/>
      <c r="ZB22" s="582"/>
      <c r="ZC22" s="582"/>
      <c r="ZD22" s="582"/>
      <c r="ZE22" s="582"/>
      <c r="ZF22" s="582"/>
      <c r="ZG22" s="582"/>
      <c r="ZH22" s="582"/>
      <c r="ZI22" s="582"/>
      <c r="ZJ22" s="582"/>
      <c r="ZK22" s="582"/>
      <c r="ZL22" s="582"/>
      <c r="ZM22" s="582"/>
      <c r="ZN22" s="582"/>
      <c r="ZO22" s="582"/>
      <c r="ZP22" s="582"/>
      <c r="ZQ22" s="582"/>
      <c r="ZR22" s="582"/>
      <c r="ZS22" s="582"/>
      <c r="ZT22" s="582"/>
      <c r="ZU22" s="582"/>
      <c r="ZV22" s="582"/>
      <c r="ZW22" s="582"/>
      <c r="ZX22" s="582"/>
      <c r="ZY22" s="582"/>
      <c r="ZZ22" s="582"/>
      <c r="AAA22" s="582"/>
      <c r="AAB22" s="582"/>
      <c r="AAC22" s="582"/>
      <c r="AAD22" s="582"/>
      <c r="AAE22" s="582"/>
      <c r="AAF22" s="582"/>
      <c r="AAG22" s="582"/>
      <c r="AAH22" s="582"/>
      <c r="AAI22" s="582"/>
      <c r="AAJ22" s="582"/>
      <c r="AAK22" s="582"/>
      <c r="AAL22" s="582"/>
      <c r="AAM22" s="582"/>
      <c r="AAN22" s="582"/>
      <c r="AAO22" s="582"/>
      <c r="AAP22" s="582"/>
      <c r="AAQ22" s="582"/>
      <c r="AAR22" s="582"/>
      <c r="AAS22" s="582"/>
      <c r="AAT22" s="582"/>
      <c r="AAU22" s="582"/>
      <c r="AAV22" s="582"/>
      <c r="AAW22" s="582"/>
      <c r="AAX22" s="582"/>
      <c r="AAY22" s="582"/>
      <c r="AAZ22" s="582"/>
      <c r="ABA22" s="582"/>
      <c r="ABB22" s="582"/>
      <c r="ABC22" s="582"/>
      <c r="ABD22" s="582"/>
      <c r="ABE22" s="582"/>
      <c r="ABF22" s="582"/>
      <c r="ABG22" s="582"/>
      <c r="ABH22" s="582"/>
      <c r="ABI22" s="582"/>
      <c r="ABJ22" s="582"/>
      <c r="ABK22" s="582"/>
      <c r="ABL22" s="582"/>
      <c r="ABM22" s="582"/>
      <c r="ABN22" s="582"/>
      <c r="ABO22" s="582"/>
      <c r="ABP22" s="582"/>
      <c r="ABQ22" s="582"/>
      <c r="ABR22" s="582"/>
      <c r="ABS22" s="582"/>
      <c r="ABT22" s="582"/>
      <c r="ABU22" s="582"/>
      <c r="ABV22" s="582"/>
      <c r="ABW22" s="582"/>
      <c r="ABX22" s="582"/>
      <c r="ABY22" s="582"/>
      <c r="ABZ22" s="582"/>
      <c r="ACA22" s="582"/>
      <c r="ACB22" s="582"/>
      <c r="ACC22" s="582"/>
      <c r="ACD22" s="582"/>
      <c r="ACE22" s="582"/>
      <c r="ACF22" s="582"/>
      <c r="ACG22" s="582"/>
      <c r="ACH22" s="582"/>
      <c r="ACI22" s="582"/>
      <c r="ACJ22" s="582"/>
      <c r="ACK22" s="582"/>
      <c r="ACL22" s="582"/>
      <c r="ACM22" s="582"/>
      <c r="ACN22" s="582"/>
      <c r="ACO22" s="582"/>
      <c r="ACP22" s="582"/>
      <c r="ACQ22" s="582"/>
      <c r="ACR22" s="582"/>
      <c r="ACS22" s="582"/>
      <c r="ACT22" s="582"/>
      <c r="ACU22" s="582"/>
      <c r="ACV22" s="582"/>
      <c r="ACW22" s="582"/>
      <c r="ACX22" s="582"/>
      <c r="ACY22" s="582"/>
      <c r="ACZ22" s="582"/>
      <c r="ADA22" s="582"/>
      <c r="ADB22" s="582"/>
      <c r="ADC22" s="582"/>
      <c r="ADD22" s="582"/>
      <c r="ADE22" s="582"/>
      <c r="ADF22" s="582"/>
      <c r="ADG22" s="582"/>
      <c r="ADH22" s="582"/>
      <c r="ADI22" s="582"/>
      <c r="ADJ22" s="582"/>
      <c r="ADK22" s="582"/>
      <c r="ADL22" s="582"/>
      <c r="ADM22" s="582"/>
      <c r="ADN22" s="582"/>
      <c r="ADO22" s="582"/>
      <c r="ADP22" s="582"/>
      <c r="ADQ22" s="582"/>
      <c r="ADR22" s="582"/>
      <c r="ADS22" s="582"/>
      <c r="ADT22" s="582"/>
      <c r="ADU22" s="582"/>
      <c r="ADV22" s="582"/>
      <c r="ADW22" s="582"/>
      <c r="ADX22" s="582"/>
      <c r="ADY22" s="582"/>
      <c r="ADZ22" s="582"/>
      <c r="AEA22" s="582"/>
      <c r="AEB22" s="582"/>
      <c r="AEC22" s="582"/>
      <c r="AED22" s="582"/>
      <c r="AEE22" s="582"/>
      <c r="AEF22" s="582"/>
      <c r="AEG22" s="582"/>
      <c r="AEH22" s="582"/>
      <c r="AEI22" s="582"/>
      <c r="AEJ22" s="582"/>
      <c r="AEK22" s="582"/>
      <c r="AEL22" s="582"/>
      <c r="AEM22" s="582"/>
      <c r="AEN22" s="582"/>
      <c r="AEO22" s="582"/>
      <c r="AEP22" s="582"/>
      <c r="AEQ22" s="582"/>
      <c r="AER22" s="582"/>
      <c r="AES22" s="582"/>
      <c r="AET22" s="582"/>
      <c r="AEU22" s="582"/>
      <c r="AEV22" s="582"/>
      <c r="AEW22" s="582"/>
      <c r="AEX22" s="582"/>
      <c r="AEY22" s="582"/>
      <c r="AEZ22" s="582"/>
      <c r="AFA22" s="582"/>
      <c r="AFB22" s="582"/>
      <c r="AFC22" s="582"/>
      <c r="AFD22" s="582"/>
      <c r="AFE22" s="582"/>
      <c r="AFF22" s="582"/>
      <c r="AFG22" s="582"/>
      <c r="AFH22" s="582"/>
      <c r="AFI22" s="582"/>
      <c r="AFJ22" s="582"/>
      <c r="AFK22" s="582"/>
      <c r="AFL22" s="582"/>
      <c r="AFM22" s="582"/>
      <c r="AFN22" s="582"/>
      <c r="AFO22" s="582"/>
      <c r="AFP22" s="582"/>
      <c r="AFQ22" s="582"/>
      <c r="AFR22" s="582"/>
      <c r="AFS22" s="582"/>
      <c r="AFT22" s="582"/>
      <c r="AFU22" s="582"/>
      <c r="AFV22" s="582"/>
      <c r="AFW22" s="582"/>
      <c r="AFX22" s="582"/>
      <c r="AFY22" s="582"/>
      <c r="AFZ22" s="582"/>
      <c r="AGA22" s="582"/>
      <c r="AGB22" s="582"/>
      <c r="AGC22" s="582"/>
      <c r="AGD22" s="582"/>
      <c r="AGE22" s="582"/>
      <c r="AGF22" s="582"/>
      <c r="AGG22" s="582"/>
      <c r="AGH22" s="582"/>
      <c r="AGI22" s="582"/>
      <c r="AGJ22" s="582"/>
      <c r="AGK22" s="582"/>
      <c r="AGL22" s="582"/>
      <c r="AGM22" s="582"/>
      <c r="AGN22" s="582"/>
      <c r="AGO22" s="582"/>
      <c r="AGP22" s="582"/>
      <c r="AGQ22" s="582"/>
      <c r="AGR22" s="582"/>
      <c r="AGS22" s="582"/>
      <c r="AGT22" s="582"/>
      <c r="AGU22" s="582"/>
      <c r="AGV22" s="582"/>
      <c r="AGW22" s="582"/>
      <c r="AGX22" s="582"/>
      <c r="AGY22" s="582"/>
      <c r="AGZ22" s="582"/>
      <c r="AHA22" s="582"/>
      <c r="AHB22" s="582"/>
      <c r="AHC22" s="582"/>
      <c r="AHD22" s="582"/>
      <c r="AHE22" s="582"/>
      <c r="AHF22" s="582"/>
      <c r="AHG22" s="582"/>
      <c r="AHH22" s="582"/>
      <c r="AHI22" s="582"/>
      <c r="AHJ22" s="582"/>
      <c r="AHK22" s="582"/>
      <c r="AHL22" s="582"/>
      <c r="AHM22" s="582"/>
      <c r="AHN22" s="582"/>
      <c r="AHO22" s="582"/>
      <c r="AHP22" s="582"/>
      <c r="AHQ22" s="582"/>
      <c r="AHR22" s="582"/>
      <c r="AHS22" s="582"/>
      <c r="AHT22" s="582"/>
      <c r="AHU22" s="582"/>
      <c r="AHV22" s="582"/>
      <c r="AHW22" s="582"/>
      <c r="AHX22" s="582"/>
      <c r="AHY22" s="582"/>
      <c r="AHZ22" s="582"/>
      <c r="AIA22" s="582"/>
      <c r="AIB22" s="582"/>
      <c r="AIC22" s="582"/>
      <c r="AID22" s="582"/>
      <c r="AIE22" s="582"/>
      <c r="AIF22" s="582"/>
      <c r="AIG22" s="582"/>
      <c r="AIH22" s="582"/>
      <c r="AII22" s="582"/>
      <c r="AIJ22" s="582"/>
      <c r="AIK22" s="582"/>
      <c r="AIL22" s="582"/>
      <c r="AIM22" s="582"/>
      <c r="AIN22" s="582"/>
      <c r="AIO22" s="582"/>
      <c r="AIP22" s="582"/>
      <c r="AIQ22" s="582"/>
      <c r="AIR22" s="582"/>
      <c r="AIS22" s="582"/>
      <c r="AIT22" s="582"/>
      <c r="AIU22" s="582"/>
      <c r="AIV22" s="582"/>
      <c r="AIW22" s="582"/>
      <c r="AIX22" s="582"/>
      <c r="AIY22" s="582"/>
      <c r="AIZ22" s="582"/>
      <c r="AJA22" s="582"/>
      <c r="AJB22" s="582"/>
      <c r="AJC22" s="582"/>
      <c r="AJD22" s="582"/>
      <c r="AJE22" s="582"/>
      <c r="AJF22" s="582"/>
      <c r="AJG22" s="582"/>
      <c r="AJH22" s="582"/>
      <c r="AJI22" s="582"/>
      <c r="AJJ22" s="582"/>
      <c r="AJK22" s="582"/>
      <c r="AJL22" s="582"/>
      <c r="AJM22" s="582"/>
      <c r="AJN22" s="582"/>
      <c r="AJO22" s="582"/>
      <c r="AJP22" s="582"/>
      <c r="AJQ22" s="582"/>
      <c r="AJR22" s="582"/>
      <c r="AJS22" s="582"/>
      <c r="AJT22" s="582"/>
      <c r="AJU22" s="582"/>
      <c r="AJV22" s="582"/>
      <c r="AJW22" s="582"/>
      <c r="AJX22" s="582"/>
      <c r="AJY22" s="582"/>
      <c r="AJZ22" s="582"/>
      <c r="AKA22" s="582"/>
      <c r="AKB22" s="582"/>
      <c r="AKC22" s="582"/>
      <c r="AKD22" s="582"/>
      <c r="AKE22" s="582"/>
      <c r="AKF22" s="582"/>
      <c r="AKG22" s="582"/>
      <c r="AKH22" s="582"/>
      <c r="AKI22" s="582"/>
      <c r="AKJ22" s="582"/>
      <c r="AKK22" s="582"/>
      <c r="AKL22" s="582"/>
      <c r="AKM22" s="582"/>
      <c r="AKN22" s="582"/>
      <c r="AKO22" s="582"/>
      <c r="AKP22" s="582"/>
      <c r="AKQ22" s="582"/>
      <c r="AKR22" s="582"/>
      <c r="AKS22" s="582"/>
      <c r="AKT22" s="582"/>
      <c r="AKU22" s="582"/>
      <c r="AKV22" s="582"/>
      <c r="AKW22" s="582"/>
      <c r="AKX22" s="582"/>
      <c r="AKY22" s="582"/>
      <c r="AKZ22" s="582"/>
      <c r="ALA22" s="582"/>
      <c r="ALB22" s="582"/>
      <c r="ALC22" s="582"/>
      <c r="ALD22" s="582"/>
      <c r="ALE22" s="582"/>
      <c r="ALF22" s="582"/>
      <c r="ALG22" s="582"/>
      <c r="ALH22" s="582"/>
      <c r="ALI22" s="582"/>
      <c r="ALJ22" s="582"/>
      <c r="ALK22" s="582"/>
      <c r="ALL22" s="582"/>
      <c r="ALM22" s="582"/>
      <c r="ALN22" s="582"/>
      <c r="ALO22" s="582"/>
      <c r="ALP22" s="582"/>
      <c r="ALQ22" s="582"/>
      <c r="ALR22" s="582"/>
      <c r="ALS22" s="582"/>
      <c r="ALT22" s="582"/>
      <c r="ALU22" s="582"/>
      <c r="ALV22" s="582"/>
      <c r="ALW22" s="582"/>
      <c r="ALX22" s="582"/>
      <c r="ALY22" s="582"/>
      <c r="ALZ22" s="582"/>
      <c r="AMA22" s="582"/>
      <c r="AMB22" s="582"/>
      <c r="AMC22" s="582"/>
      <c r="AMD22" s="582"/>
      <c r="AME22" s="582"/>
      <c r="AMF22" s="582"/>
      <c r="AMG22" s="582"/>
      <c r="AMH22" s="582"/>
      <c r="AMI22" s="582"/>
      <c r="AMJ22" s="582"/>
      <c r="AMK22" s="582"/>
      <c r="AML22" s="582"/>
      <c r="AMM22" s="582"/>
      <c r="AMN22" s="582"/>
      <c r="AMO22" s="582"/>
      <c r="AMP22" s="582"/>
      <c r="AMQ22" s="582"/>
      <c r="AMR22" s="582"/>
      <c r="AMS22" s="582"/>
      <c r="AMT22" s="582"/>
      <c r="AMU22" s="582"/>
      <c r="AMV22" s="582"/>
      <c r="AMW22" s="582"/>
      <c r="AMX22" s="582"/>
      <c r="AMY22" s="582"/>
      <c r="AMZ22" s="582"/>
      <c r="ANA22" s="582"/>
      <c r="ANB22" s="582"/>
      <c r="ANC22" s="582"/>
      <c r="AND22" s="582"/>
      <c r="ANE22" s="582"/>
      <c r="ANF22" s="582"/>
      <c r="ANG22" s="582"/>
      <c r="ANH22" s="582"/>
      <c r="ANI22" s="582"/>
      <c r="ANJ22" s="582"/>
      <c r="ANK22" s="582"/>
      <c r="ANL22" s="582"/>
      <c r="ANM22" s="582"/>
      <c r="ANN22" s="582"/>
      <c r="ANO22" s="582"/>
      <c r="ANP22" s="582"/>
      <c r="ANQ22" s="582"/>
      <c r="ANR22" s="582"/>
      <c r="ANS22" s="582"/>
      <c r="ANT22" s="582"/>
      <c r="ANU22" s="582"/>
      <c r="ANV22" s="582"/>
      <c r="ANW22" s="582"/>
      <c r="ANX22" s="582"/>
      <c r="ANY22" s="582"/>
      <c r="ANZ22" s="582"/>
      <c r="AOA22" s="582"/>
      <c r="AOB22" s="582"/>
      <c r="AOC22" s="582"/>
      <c r="AOD22" s="582"/>
      <c r="AOE22" s="582"/>
      <c r="AOF22" s="582"/>
      <c r="AOG22" s="582"/>
      <c r="AOH22" s="582"/>
      <c r="AOI22" s="582"/>
      <c r="AOJ22" s="582"/>
      <c r="AOK22" s="582"/>
      <c r="AOL22" s="582"/>
      <c r="AOM22" s="582"/>
      <c r="AON22" s="582"/>
      <c r="AOO22" s="582"/>
      <c r="AOP22" s="582"/>
      <c r="AOQ22" s="582"/>
      <c r="AOR22" s="582"/>
      <c r="AOS22" s="582"/>
      <c r="AOT22" s="582"/>
      <c r="AOU22" s="582"/>
      <c r="AOV22" s="582"/>
      <c r="AOW22" s="582"/>
      <c r="AOX22" s="582"/>
      <c r="AOY22" s="582"/>
      <c r="AOZ22" s="582"/>
      <c r="APA22" s="582"/>
      <c r="APB22" s="582"/>
      <c r="APC22" s="582"/>
      <c r="APD22" s="582"/>
      <c r="APE22" s="582"/>
      <c r="APF22" s="582"/>
      <c r="APG22" s="582"/>
      <c r="APH22" s="582"/>
      <c r="API22" s="582"/>
      <c r="APJ22" s="582"/>
      <c r="APK22" s="582"/>
      <c r="APL22" s="582"/>
      <c r="APM22" s="582"/>
      <c r="APN22" s="582"/>
      <c r="APO22" s="582"/>
      <c r="APP22" s="582"/>
      <c r="APQ22" s="582"/>
      <c r="APR22" s="582"/>
      <c r="APS22" s="582"/>
      <c r="APT22" s="582"/>
      <c r="APU22" s="582"/>
      <c r="APV22" s="582"/>
      <c r="APW22" s="582"/>
      <c r="APX22" s="582"/>
      <c r="APY22" s="582"/>
      <c r="APZ22" s="582"/>
      <c r="AQA22" s="582"/>
      <c r="AQB22" s="582"/>
      <c r="AQC22" s="582"/>
      <c r="AQD22" s="582"/>
      <c r="AQE22" s="582"/>
      <c r="AQF22" s="582"/>
      <c r="AQG22" s="582"/>
      <c r="AQH22" s="582"/>
      <c r="AQI22" s="582"/>
      <c r="AQJ22" s="582"/>
      <c r="AQK22" s="582"/>
      <c r="AQL22" s="582"/>
      <c r="AQM22" s="582"/>
      <c r="AQN22" s="582"/>
      <c r="AQO22" s="582"/>
      <c r="AQP22" s="582"/>
      <c r="AQQ22" s="582"/>
      <c r="AQR22" s="582"/>
      <c r="AQS22" s="582"/>
      <c r="AQT22" s="582"/>
      <c r="AQU22" s="582"/>
      <c r="AQV22" s="582"/>
      <c r="AQW22" s="582"/>
      <c r="AQX22" s="582"/>
      <c r="AQY22" s="582"/>
      <c r="AQZ22" s="582"/>
      <c r="ARA22" s="582"/>
      <c r="ARB22" s="582"/>
      <c r="ARC22" s="582"/>
      <c r="ARD22" s="582"/>
      <c r="ARE22" s="582"/>
      <c r="ARF22" s="582"/>
      <c r="ARG22" s="582"/>
      <c r="ARH22" s="582"/>
      <c r="ARI22" s="582"/>
      <c r="ARJ22" s="582"/>
      <c r="ARK22" s="582"/>
      <c r="ARL22" s="582"/>
      <c r="ARM22" s="582"/>
      <c r="ARN22" s="582"/>
      <c r="ARO22" s="582"/>
      <c r="ARP22" s="582"/>
      <c r="ARQ22" s="582"/>
      <c r="ARR22" s="582"/>
      <c r="ARS22" s="582"/>
      <c r="ART22" s="582"/>
      <c r="ARU22" s="582"/>
      <c r="ARV22" s="582"/>
      <c r="ARW22" s="582"/>
      <c r="ARX22" s="582"/>
      <c r="ARY22" s="582"/>
      <c r="ARZ22" s="582"/>
      <c r="ASA22" s="582"/>
      <c r="ASB22" s="582"/>
      <c r="ASC22" s="582"/>
      <c r="ASD22" s="582"/>
      <c r="ASE22" s="582"/>
      <c r="ASF22" s="582"/>
      <c r="ASG22" s="582"/>
      <c r="ASH22" s="582"/>
      <c r="ASI22" s="582"/>
      <c r="ASJ22" s="582"/>
      <c r="ASK22" s="582"/>
      <c r="ASL22" s="582"/>
      <c r="ASM22" s="582"/>
      <c r="ASN22" s="582"/>
      <c r="ASO22" s="582"/>
      <c r="ASP22" s="582"/>
      <c r="ASQ22" s="582"/>
      <c r="ASR22" s="582"/>
      <c r="ASS22" s="582"/>
      <c r="AST22" s="582"/>
      <c r="ASU22" s="582"/>
      <c r="ASV22" s="582"/>
      <c r="ASW22" s="582"/>
      <c r="ASX22" s="582"/>
      <c r="ASY22" s="582"/>
      <c r="ASZ22" s="582"/>
      <c r="ATA22" s="582"/>
      <c r="ATB22" s="582"/>
      <c r="ATC22" s="582"/>
      <c r="ATD22" s="582"/>
      <c r="ATE22" s="582"/>
      <c r="ATF22" s="582"/>
      <c r="ATG22" s="582"/>
      <c r="ATH22" s="582"/>
      <c r="ATI22" s="582"/>
      <c r="ATJ22" s="582"/>
      <c r="ATK22" s="582"/>
      <c r="ATL22" s="582"/>
      <c r="ATM22" s="582"/>
      <c r="ATN22" s="582"/>
      <c r="ATO22" s="582"/>
      <c r="ATP22" s="582"/>
      <c r="ATQ22" s="582"/>
      <c r="ATR22" s="582"/>
      <c r="ATS22" s="582"/>
      <c r="ATT22" s="582"/>
      <c r="ATU22" s="582"/>
      <c r="ATV22" s="582"/>
      <c r="ATW22" s="582"/>
      <c r="ATX22" s="582"/>
      <c r="ATY22" s="582"/>
      <c r="ATZ22" s="582"/>
      <c r="AUA22" s="582"/>
      <c r="AUB22" s="582"/>
      <c r="AUC22" s="582"/>
      <c r="AUD22" s="582"/>
      <c r="AUE22" s="582"/>
      <c r="AUF22" s="582"/>
      <c r="AUG22" s="582"/>
      <c r="AUH22" s="582"/>
      <c r="AUI22" s="582"/>
      <c r="AUJ22" s="582"/>
      <c r="AUK22" s="582"/>
      <c r="AUL22" s="582"/>
      <c r="AUM22" s="582"/>
      <c r="AUN22" s="582"/>
      <c r="AUO22" s="582"/>
      <c r="AUP22" s="582"/>
      <c r="AUQ22" s="582"/>
      <c r="AUR22" s="582"/>
      <c r="AUS22" s="582"/>
      <c r="AUT22" s="582"/>
      <c r="AUU22" s="582"/>
      <c r="AUV22" s="582"/>
      <c r="AUW22" s="582"/>
      <c r="AUX22" s="582"/>
      <c r="AUY22" s="582"/>
      <c r="AUZ22" s="582"/>
      <c r="AVA22" s="582"/>
      <c r="AVB22" s="582"/>
      <c r="AVC22" s="582"/>
      <c r="AVD22" s="582"/>
      <c r="AVE22" s="582"/>
      <c r="AVF22" s="582"/>
      <c r="AVG22" s="582"/>
      <c r="AVH22" s="582"/>
      <c r="AVI22" s="582"/>
      <c r="AVJ22" s="582"/>
      <c r="AVK22" s="582"/>
      <c r="AVL22" s="582"/>
      <c r="AVM22" s="582"/>
      <c r="AVN22" s="582"/>
      <c r="AVO22" s="582"/>
      <c r="AVP22" s="582"/>
      <c r="AVQ22" s="582"/>
      <c r="AVR22" s="582"/>
      <c r="AVS22" s="582"/>
      <c r="AVT22" s="582"/>
      <c r="AVU22" s="582"/>
      <c r="AVV22" s="582"/>
      <c r="AVW22" s="582"/>
      <c r="AVX22" s="582"/>
      <c r="AVY22" s="582"/>
      <c r="AVZ22" s="582"/>
      <c r="AWA22" s="582"/>
      <c r="AWB22" s="582"/>
      <c r="AWC22" s="582"/>
      <c r="AWD22" s="582"/>
      <c r="AWE22" s="582"/>
      <c r="AWF22" s="582"/>
      <c r="AWG22" s="582"/>
      <c r="AWH22" s="582"/>
      <c r="AWI22" s="582"/>
      <c r="AWJ22" s="582"/>
      <c r="AWK22" s="582"/>
      <c r="AWL22" s="582"/>
      <c r="AWM22" s="582"/>
      <c r="AWN22" s="582"/>
      <c r="AWO22" s="582"/>
      <c r="AWP22" s="582"/>
      <c r="AWQ22" s="582"/>
      <c r="AWR22" s="582"/>
      <c r="AWS22" s="582"/>
      <c r="AWT22" s="582"/>
      <c r="AWU22" s="582"/>
      <c r="AWV22" s="582"/>
      <c r="AWW22" s="582"/>
      <c r="AWX22" s="582"/>
      <c r="AWY22" s="582"/>
      <c r="AWZ22" s="582"/>
      <c r="AXA22" s="582"/>
      <c r="AXB22" s="582"/>
      <c r="AXC22" s="582"/>
      <c r="AXD22" s="582"/>
      <c r="AXE22" s="582"/>
      <c r="AXF22" s="582"/>
      <c r="AXG22" s="582"/>
      <c r="AXH22" s="582"/>
      <c r="AXI22" s="582"/>
      <c r="AXJ22" s="582"/>
      <c r="AXK22" s="582"/>
      <c r="AXL22" s="582"/>
      <c r="AXM22" s="582"/>
      <c r="AXN22" s="582"/>
      <c r="AXO22" s="582"/>
      <c r="AXP22" s="582"/>
      <c r="AXQ22" s="582"/>
      <c r="AXR22" s="582"/>
      <c r="AXS22" s="582"/>
      <c r="AXT22" s="582"/>
      <c r="AXU22" s="582"/>
      <c r="AXV22" s="582"/>
      <c r="AXW22" s="582"/>
      <c r="AXX22" s="582"/>
      <c r="AXY22" s="582"/>
      <c r="AXZ22" s="582"/>
      <c r="AYA22" s="582"/>
      <c r="AYB22" s="582"/>
      <c r="AYC22" s="582"/>
      <c r="AYD22" s="582"/>
      <c r="AYE22" s="582"/>
      <c r="AYF22" s="582"/>
      <c r="AYG22" s="582"/>
      <c r="AYH22" s="582"/>
      <c r="AYI22" s="582"/>
      <c r="AYJ22" s="582"/>
      <c r="AYK22" s="582"/>
      <c r="AYL22" s="582"/>
      <c r="AYM22" s="582"/>
      <c r="AYN22" s="582"/>
      <c r="AYO22" s="582"/>
      <c r="AYP22" s="582"/>
      <c r="AYQ22" s="582"/>
      <c r="AYR22" s="582"/>
      <c r="AYS22" s="582"/>
      <c r="AYT22" s="582"/>
      <c r="AYU22" s="582"/>
      <c r="AYV22" s="582"/>
      <c r="AYW22" s="582"/>
      <c r="AYX22" s="582"/>
      <c r="AYY22" s="582"/>
      <c r="AYZ22" s="582"/>
      <c r="AZA22" s="582"/>
      <c r="AZB22" s="582"/>
      <c r="AZC22" s="582"/>
      <c r="AZD22" s="582"/>
      <c r="AZE22" s="582"/>
      <c r="AZF22" s="582"/>
      <c r="AZG22" s="582"/>
      <c r="AZH22" s="582"/>
      <c r="AZI22" s="582"/>
      <c r="AZJ22" s="582"/>
      <c r="AZK22" s="582"/>
      <c r="AZL22" s="582"/>
      <c r="AZM22" s="582"/>
      <c r="AZN22" s="582"/>
      <c r="AZO22" s="582"/>
      <c r="AZP22" s="582"/>
      <c r="AZQ22" s="582"/>
      <c r="AZR22" s="582"/>
      <c r="AZS22" s="582"/>
      <c r="AZT22" s="582"/>
      <c r="AZU22" s="582"/>
      <c r="AZV22" s="582"/>
      <c r="AZW22" s="582"/>
      <c r="AZX22" s="582"/>
      <c r="AZY22" s="582"/>
      <c r="AZZ22" s="582"/>
      <c r="BAA22" s="582"/>
      <c r="BAB22" s="582"/>
      <c r="BAC22" s="582"/>
      <c r="BAD22" s="582"/>
      <c r="BAE22" s="582"/>
      <c r="BAF22" s="582"/>
      <c r="BAG22" s="582"/>
      <c r="BAH22" s="582"/>
      <c r="BAI22" s="582"/>
      <c r="BAJ22" s="582"/>
      <c r="BAK22" s="582"/>
      <c r="BAL22" s="582"/>
      <c r="BAM22" s="582"/>
      <c r="BAN22" s="582"/>
      <c r="BAO22" s="582"/>
      <c r="BAP22" s="582"/>
      <c r="BAQ22" s="582"/>
      <c r="BAR22" s="582"/>
      <c r="BAS22" s="582"/>
      <c r="BAT22" s="582"/>
      <c r="BAU22" s="582"/>
      <c r="BAV22" s="582"/>
      <c r="BAW22" s="582"/>
      <c r="BAX22" s="582"/>
      <c r="BAY22" s="582"/>
      <c r="BAZ22" s="582"/>
      <c r="BBA22" s="582"/>
      <c r="BBB22" s="582"/>
      <c r="BBC22" s="582"/>
      <c r="BBD22" s="582"/>
      <c r="BBE22" s="582"/>
      <c r="BBF22" s="582"/>
      <c r="BBG22" s="582"/>
      <c r="BBH22" s="582"/>
      <c r="BBI22" s="582"/>
      <c r="BBJ22" s="582"/>
      <c r="BBK22" s="582"/>
      <c r="BBL22" s="582"/>
      <c r="BBM22" s="582"/>
      <c r="BBN22" s="582"/>
      <c r="BBO22" s="582"/>
      <c r="BBP22" s="582"/>
      <c r="BBQ22" s="582"/>
      <c r="BBR22" s="582"/>
      <c r="BBS22" s="582"/>
      <c r="BBT22" s="582"/>
      <c r="BBU22" s="582"/>
      <c r="BBV22" s="582"/>
      <c r="BBW22" s="582"/>
      <c r="BBX22" s="582"/>
      <c r="BBY22" s="582"/>
      <c r="BBZ22" s="582"/>
      <c r="BCA22" s="582"/>
      <c r="BCB22" s="582"/>
      <c r="BCC22" s="582"/>
      <c r="BCD22" s="582"/>
      <c r="BCE22" s="582"/>
      <c r="BCF22" s="582"/>
      <c r="BCG22" s="582"/>
      <c r="BCH22" s="582"/>
      <c r="BCI22" s="582"/>
      <c r="BCJ22" s="582"/>
      <c r="BCK22" s="582"/>
      <c r="BCL22" s="582"/>
      <c r="BCM22" s="582"/>
      <c r="BCN22" s="582"/>
      <c r="BCO22" s="582"/>
      <c r="BCP22" s="582"/>
      <c r="BCQ22" s="582"/>
      <c r="BCR22" s="582"/>
      <c r="BCS22" s="582"/>
      <c r="BCT22" s="582"/>
      <c r="BCU22" s="582"/>
      <c r="BCV22" s="582"/>
      <c r="BCW22" s="582"/>
      <c r="BCX22" s="582"/>
      <c r="BCY22" s="582"/>
      <c r="BCZ22" s="582"/>
      <c r="BDA22" s="582"/>
      <c r="BDB22" s="582"/>
      <c r="BDC22" s="582"/>
      <c r="BDD22" s="582"/>
      <c r="BDE22" s="582"/>
      <c r="BDF22" s="582"/>
      <c r="BDG22" s="582"/>
      <c r="BDH22" s="582"/>
      <c r="BDI22" s="582"/>
      <c r="BDJ22" s="582"/>
      <c r="BDK22" s="582"/>
      <c r="BDL22" s="582"/>
      <c r="BDM22" s="582"/>
      <c r="BDN22" s="582"/>
      <c r="BDO22" s="582"/>
      <c r="BDP22" s="582"/>
      <c r="BDQ22" s="582"/>
      <c r="BDR22" s="582"/>
      <c r="BDS22" s="582"/>
      <c r="BDT22" s="582"/>
      <c r="BDU22" s="582"/>
      <c r="BDV22" s="582"/>
      <c r="BDW22" s="582"/>
      <c r="BDX22" s="582"/>
      <c r="BDY22" s="582"/>
      <c r="BDZ22" s="582"/>
      <c r="BEA22" s="582"/>
      <c r="BEB22" s="582"/>
      <c r="BEC22" s="582"/>
      <c r="BED22" s="582"/>
      <c r="BEE22" s="582"/>
      <c r="BEF22" s="582"/>
      <c r="BEG22" s="582"/>
      <c r="BEH22" s="582"/>
      <c r="BEI22" s="582"/>
      <c r="BEJ22" s="582"/>
      <c r="BEK22" s="582"/>
      <c r="BEL22" s="582"/>
      <c r="BEM22" s="582"/>
      <c r="BEN22" s="582"/>
      <c r="BEO22" s="582"/>
      <c r="BEP22" s="582"/>
      <c r="BEQ22" s="582"/>
      <c r="BER22" s="582"/>
      <c r="BES22" s="582"/>
      <c r="BET22" s="582"/>
      <c r="BEU22" s="582"/>
      <c r="BEV22" s="582"/>
      <c r="BEW22" s="582"/>
      <c r="BEX22" s="582"/>
      <c r="BEY22" s="582"/>
      <c r="BEZ22" s="582"/>
      <c r="BFA22" s="582"/>
      <c r="BFB22" s="582"/>
      <c r="BFC22" s="582"/>
      <c r="BFD22" s="582"/>
      <c r="BFE22" s="582"/>
      <c r="BFF22" s="582"/>
      <c r="BFG22" s="582"/>
      <c r="BFH22" s="582"/>
      <c r="BFI22" s="582"/>
      <c r="BFJ22" s="582"/>
      <c r="BFK22" s="582"/>
      <c r="BFL22" s="582"/>
      <c r="BFM22" s="582"/>
      <c r="BFN22" s="582"/>
      <c r="BFO22" s="582"/>
      <c r="BFP22" s="582"/>
      <c r="BFQ22" s="582"/>
      <c r="BFR22" s="582"/>
      <c r="BFS22" s="582"/>
      <c r="BFT22" s="582"/>
      <c r="BFU22" s="582"/>
      <c r="BFV22" s="582"/>
      <c r="BFW22" s="582"/>
      <c r="BFX22" s="582"/>
      <c r="BFY22" s="582"/>
      <c r="BFZ22" s="582"/>
      <c r="BGA22" s="582"/>
      <c r="BGB22" s="582"/>
      <c r="BGC22" s="582"/>
      <c r="BGD22" s="582"/>
      <c r="BGE22" s="582"/>
      <c r="BGF22" s="582"/>
      <c r="BGG22" s="582"/>
      <c r="BGH22" s="582"/>
      <c r="BGI22" s="582"/>
      <c r="BGJ22" s="582"/>
      <c r="BGK22" s="582"/>
      <c r="BGL22" s="582"/>
      <c r="BGM22" s="582"/>
      <c r="BGN22" s="582"/>
      <c r="BGO22" s="582"/>
      <c r="BGP22" s="582"/>
      <c r="BGQ22" s="582"/>
      <c r="BGR22" s="582"/>
      <c r="BGS22" s="582"/>
      <c r="BGT22" s="582"/>
      <c r="BGU22" s="582"/>
      <c r="BGV22" s="582"/>
      <c r="BGW22" s="582"/>
      <c r="BGX22" s="582"/>
      <c r="BGY22" s="582"/>
      <c r="BGZ22" s="582"/>
      <c r="BHA22" s="582"/>
      <c r="BHB22" s="582"/>
      <c r="BHC22" s="582"/>
      <c r="BHD22" s="582"/>
      <c r="BHE22" s="582"/>
      <c r="BHF22" s="582"/>
      <c r="BHG22" s="582"/>
      <c r="BHH22" s="582"/>
      <c r="BHI22" s="582"/>
      <c r="BHJ22" s="582"/>
      <c r="BHK22" s="582"/>
      <c r="BHL22" s="582"/>
      <c r="BHM22" s="582"/>
      <c r="BHN22" s="582"/>
      <c r="BHO22" s="582"/>
      <c r="BHP22" s="582"/>
      <c r="BHQ22" s="582"/>
      <c r="BHR22" s="582"/>
      <c r="BHS22" s="582"/>
      <c r="BHT22" s="582"/>
      <c r="BHU22" s="582"/>
      <c r="BHV22" s="582"/>
      <c r="BHW22" s="582"/>
      <c r="BHX22" s="582"/>
      <c r="BHY22" s="582"/>
      <c r="BHZ22" s="582"/>
      <c r="BIA22" s="582"/>
      <c r="BIB22" s="582"/>
      <c r="BIC22" s="582"/>
      <c r="BID22" s="582"/>
      <c r="BIE22" s="582"/>
      <c r="BIF22" s="582"/>
      <c r="BIG22" s="582"/>
      <c r="BIH22" s="582"/>
      <c r="BII22" s="582"/>
      <c r="BIJ22" s="582"/>
      <c r="BIK22" s="582"/>
      <c r="BIL22" s="582"/>
      <c r="BIM22" s="582"/>
      <c r="BIN22" s="582"/>
      <c r="BIO22" s="582"/>
      <c r="BIP22" s="582"/>
      <c r="BIQ22" s="582"/>
      <c r="BIR22" s="582"/>
      <c r="BIS22" s="582"/>
      <c r="BIT22" s="582"/>
      <c r="BIU22" s="582"/>
      <c r="BIV22" s="582"/>
      <c r="BIW22" s="582"/>
      <c r="BIX22" s="582"/>
      <c r="BIY22" s="582"/>
      <c r="BIZ22" s="582"/>
      <c r="BJA22" s="582"/>
      <c r="BJB22" s="582"/>
      <c r="BJC22" s="582"/>
      <c r="BJD22" s="582"/>
      <c r="BJE22" s="582"/>
      <c r="BJF22" s="582"/>
      <c r="BJG22" s="582"/>
      <c r="BJH22" s="582"/>
      <c r="BJI22" s="582"/>
      <c r="BJJ22" s="582"/>
      <c r="BJK22" s="582"/>
      <c r="BJL22" s="582"/>
      <c r="BJM22" s="582"/>
      <c r="BJN22" s="582"/>
      <c r="BJO22" s="582"/>
      <c r="BJP22" s="582"/>
      <c r="BJQ22" s="582"/>
      <c r="BJR22" s="582"/>
      <c r="BJS22" s="582"/>
      <c r="BJT22" s="582"/>
      <c r="BJU22" s="582"/>
      <c r="BJV22" s="582"/>
      <c r="BJW22" s="582"/>
      <c r="BJX22" s="582"/>
      <c r="BJY22" s="582"/>
      <c r="BJZ22" s="582"/>
      <c r="BKA22" s="582"/>
      <c r="BKB22" s="582"/>
      <c r="BKC22" s="582"/>
      <c r="BKD22" s="582"/>
      <c r="BKE22" s="582"/>
      <c r="BKF22" s="582"/>
      <c r="BKG22" s="582"/>
      <c r="BKH22" s="582"/>
      <c r="BKI22" s="582"/>
      <c r="BKJ22" s="582"/>
      <c r="BKK22" s="582"/>
      <c r="BKL22" s="582"/>
      <c r="BKM22" s="582"/>
      <c r="BKN22" s="582"/>
      <c r="BKO22" s="582"/>
      <c r="BKP22" s="582"/>
      <c r="BKQ22" s="582"/>
      <c r="BKR22" s="582"/>
      <c r="BKS22" s="582"/>
      <c r="BKT22" s="582"/>
      <c r="BKU22" s="582"/>
      <c r="BKV22" s="582"/>
      <c r="BKW22" s="582"/>
      <c r="BKX22" s="582"/>
      <c r="BKY22" s="582"/>
      <c r="BKZ22" s="582"/>
      <c r="BLA22" s="582"/>
      <c r="BLB22" s="582"/>
      <c r="BLC22" s="582"/>
      <c r="BLD22" s="582"/>
      <c r="BLE22" s="582"/>
      <c r="BLF22" s="582"/>
      <c r="BLG22" s="582"/>
      <c r="BLH22" s="582"/>
      <c r="BLI22" s="582"/>
      <c r="BLJ22" s="582"/>
      <c r="BLK22" s="582"/>
      <c r="BLL22" s="582"/>
      <c r="BLM22" s="582"/>
      <c r="BLN22" s="582"/>
      <c r="BLO22" s="582"/>
      <c r="BLP22" s="582"/>
      <c r="BLQ22" s="582"/>
      <c r="BLR22" s="582"/>
      <c r="BLS22" s="582"/>
      <c r="BLT22" s="582"/>
      <c r="BLU22" s="582"/>
      <c r="BLV22" s="582"/>
      <c r="BLW22" s="582"/>
      <c r="BLX22" s="582"/>
      <c r="BLY22" s="582"/>
      <c r="BLZ22" s="582"/>
      <c r="BMA22" s="582"/>
      <c r="BMB22" s="582"/>
      <c r="BMC22" s="582"/>
      <c r="BMD22" s="582"/>
      <c r="BME22" s="582"/>
      <c r="BMF22" s="582"/>
      <c r="BMG22" s="582"/>
      <c r="BMH22" s="582"/>
      <c r="BMI22" s="582"/>
      <c r="BMJ22" s="582"/>
      <c r="BMK22" s="582"/>
      <c r="BML22" s="582"/>
      <c r="BMM22" s="582"/>
      <c r="BMN22" s="582"/>
      <c r="BMO22" s="582"/>
      <c r="BMP22" s="582"/>
      <c r="BMQ22" s="582"/>
      <c r="BMR22" s="582"/>
      <c r="BMS22" s="582"/>
      <c r="BMT22" s="582"/>
      <c r="BMU22" s="582"/>
      <c r="BMV22" s="582"/>
      <c r="BMW22" s="582"/>
      <c r="BMX22" s="582"/>
      <c r="BMY22" s="582"/>
      <c r="BMZ22" s="582"/>
      <c r="BNA22" s="582"/>
      <c r="BNB22" s="582"/>
      <c r="BNC22" s="582"/>
      <c r="BND22" s="582"/>
      <c r="BNE22" s="582"/>
      <c r="BNF22" s="582"/>
      <c r="BNG22" s="582"/>
      <c r="BNH22" s="582"/>
      <c r="BNI22" s="582"/>
      <c r="BNJ22" s="582"/>
      <c r="BNK22" s="582"/>
      <c r="BNL22" s="582"/>
      <c r="BNM22" s="582"/>
      <c r="BNN22" s="582"/>
      <c r="BNO22" s="582"/>
      <c r="BNP22" s="582"/>
      <c r="BNQ22" s="582"/>
      <c r="BNR22" s="582"/>
      <c r="BNS22" s="582"/>
      <c r="BNT22" s="582"/>
      <c r="BNU22" s="582"/>
      <c r="BNV22" s="582"/>
      <c r="BNW22" s="582"/>
      <c r="BNX22" s="582"/>
      <c r="BNY22" s="582"/>
      <c r="BNZ22" s="582"/>
      <c r="BOA22" s="582"/>
      <c r="BOB22" s="582"/>
      <c r="BOC22" s="582"/>
      <c r="BOD22" s="582"/>
      <c r="BOE22" s="582"/>
      <c r="BOF22" s="582"/>
      <c r="BOG22" s="582"/>
      <c r="BOH22" s="582"/>
      <c r="BOI22" s="582"/>
      <c r="BOJ22" s="582"/>
      <c r="BOK22" s="582"/>
      <c r="BOL22" s="582"/>
      <c r="BOM22" s="582"/>
      <c r="BON22" s="582"/>
      <c r="BOO22" s="582"/>
      <c r="BOP22" s="582"/>
      <c r="BOQ22" s="582"/>
      <c r="BOR22" s="582"/>
      <c r="BOS22" s="582"/>
      <c r="BOT22" s="582"/>
      <c r="BOU22" s="582"/>
      <c r="BOV22" s="582"/>
      <c r="BOW22" s="582"/>
      <c r="BOX22" s="582"/>
      <c r="BOY22" s="582"/>
      <c r="BOZ22" s="582"/>
      <c r="BPA22" s="582"/>
      <c r="BPB22" s="582"/>
      <c r="BPC22" s="582"/>
      <c r="BPD22" s="582"/>
      <c r="BPE22" s="582"/>
      <c r="BPF22" s="582"/>
      <c r="BPG22" s="582"/>
      <c r="BPH22" s="582"/>
      <c r="BPI22" s="582"/>
      <c r="BPJ22" s="582"/>
      <c r="BPK22" s="582"/>
      <c r="BPL22" s="582"/>
      <c r="BPM22" s="582"/>
      <c r="BPN22" s="582"/>
      <c r="BPO22" s="582"/>
      <c r="BPP22" s="582"/>
      <c r="BPQ22" s="582"/>
      <c r="BPR22" s="582"/>
      <c r="BPS22" s="582"/>
      <c r="BPT22" s="582"/>
      <c r="BPU22" s="582"/>
      <c r="BPV22" s="582"/>
      <c r="BPW22" s="582"/>
      <c r="BPX22" s="582"/>
      <c r="BPY22" s="582"/>
      <c r="BPZ22" s="582"/>
      <c r="BQA22" s="582"/>
      <c r="BQB22" s="582"/>
      <c r="BQC22" s="582"/>
      <c r="BQD22" s="582"/>
      <c r="BQE22" s="582"/>
      <c r="BQF22" s="582"/>
      <c r="BQG22" s="582"/>
      <c r="BQH22" s="582"/>
      <c r="BQI22" s="582"/>
      <c r="BQJ22" s="582"/>
      <c r="BQK22" s="582"/>
      <c r="BQL22" s="582"/>
      <c r="BQM22" s="582"/>
      <c r="BQN22" s="582"/>
      <c r="BQO22" s="582"/>
      <c r="BQP22" s="582"/>
      <c r="BQQ22" s="582"/>
      <c r="BQR22" s="582"/>
      <c r="BQS22" s="582"/>
      <c r="BQT22" s="582"/>
      <c r="BQU22" s="582"/>
      <c r="BQV22" s="582"/>
      <c r="BQW22" s="582"/>
      <c r="BQX22" s="582"/>
      <c r="BQY22" s="582"/>
      <c r="BQZ22" s="582"/>
      <c r="BRA22" s="582"/>
      <c r="BRB22" s="582"/>
      <c r="BRC22" s="582"/>
      <c r="BRD22" s="582"/>
      <c r="BRE22" s="582"/>
      <c r="BRF22" s="582"/>
      <c r="BRG22" s="582"/>
      <c r="BRH22" s="582"/>
      <c r="BRI22" s="582"/>
      <c r="BRJ22" s="582"/>
      <c r="BRK22" s="582"/>
      <c r="BRL22" s="582"/>
      <c r="BRM22" s="582"/>
      <c r="BRN22" s="582"/>
      <c r="BRO22" s="582"/>
      <c r="BRP22" s="582"/>
      <c r="BRQ22" s="582"/>
      <c r="BRR22" s="582"/>
      <c r="BRS22" s="582"/>
      <c r="BRT22" s="582"/>
      <c r="BRU22" s="582"/>
      <c r="BRV22" s="582"/>
      <c r="BRW22" s="582"/>
      <c r="BRX22" s="582"/>
      <c r="BRY22" s="582"/>
      <c r="BRZ22" s="582"/>
      <c r="BSA22" s="582"/>
      <c r="BSB22" s="582"/>
      <c r="BSC22" s="582"/>
      <c r="BSD22" s="582"/>
      <c r="BSE22" s="582"/>
      <c r="BSF22" s="582"/>
      <c r="BSG22" s="582"/>
      <c r="BSH22" s="582"/>
      <c r="BSI22" s="582"/>
      <c r="BSJ22" s="582"/>
      <c r="BSK22" s="582"/>
      <c r="BSL22" s="582"/>
      <c r="BSM22" s="582"/>
      <c r="BSN22" s="582"/>
      <c r="BSO22" s="582"/>
      <c r="BSP22" s="582"/>
      <c r="BSQ22" s="582"/>
      <c r="BSR22" s="582"/>
      <c r="BSS22" s="582"/>
      <c r="BST22" s="582"/>
      <c r="BSU22" s="582"/>
      <c r="BSV22" s="582"/>
      <c r="BSW22" s="582"/>
      <c r="BSX22" s="582"/>
      <c r="BSY22" s="582"/>
      <c r="BSZ22" s="582"/>
      <c r="BTA22" s="582"/>
      <c r="BTB22" s="582"/>
      <c r="BTC22" s="582"/>
      <c r="BTD22" s="582"/>
      <c r="BTE22" s="582"/>
      <c r="BTF22" s="582"/>
      <c r="BTG22" s="582"/>
      <c r="BTH22" s="582"/>
      <c r="BTI22" s="582"/>
      <c r="BTJ22" s="582"/>
      <c r="BTK22" s="582"/>
      <c r="BTL22" s="582"/>
      <c r="BTM22" s="582"/>
      <c r="BTN22" s="582"/>
      <c r="BTO22" s="582"/>
      <c r="BTP22" s="582"/>
      <c r="BTQ22" s="582"/>
      <c r="BTR22" s="582"/>
      <c r="BTS22" s="582"/>
      <c r="BTT22" s="582"/>
      <c r="BTU22" s="582"/>
      <c r="BTV22" s="582"/>
      <c r="BTW22" s="582"/>
      <c r="BTX22" s="582"/>
      <c r="BTY22" s="582"/>
      <c r="BTZ22" s="582"/>
      <c r="BUA22" s="582"/>
      <c r="BUB22" s="582"/>
      <c r="BUC22" s="582"/>
      <c r="BUD22" s="582"/>
      <c r="BUE22" s="582"/>
      <c r="BUF22" s="582"/>
      <c r="BUG22" s="582"/>
      <c r="BUH22" s="582"/>
      <c r="BUI22" s="582"/>
      <c r="BUJ22" s="582"/>
      <c r="BUK22" s="582"/>
      <c r="BUL22" s="582"/>
      <c r="BUM22" s="582"/>
      <c r="BUN22" s="582"/>
      <c r="BUO22" s="582"/>
      <c r="BUP22" s="582"/>
      <c r="BUQ22" s="582"/>
      <c r="BUR22" s="582"/>
      <c r="BUS22" s="582"/>
      <c r="BUT22" s="582"/>
      <c r="BUU22" s="582"/>
      <c r="BUV22" s="582"/>
      <c r="BUW22" s="582"/>
      <c r="BUX22" s="582"/>
      <c r="BUY22" s="582"/>
      <c r="BUZ22" s="582"/>
      <c r="BVA22" s="582"/>
      <c r="BVB22" s="582"/>
      <c r="BVC22" s="582"/>
      <c r="BVD22" s="582"/>
      <c r="BVE22" s="582"/>
      <c r="BVF22" s="582"/>
      <c r="BVG22" s="582"/>
      <c r="BVH22" s="582"/>
      <c r="BVI22" s="582"/>
      <c r="BVJ22" s="582"/>
      <c r="BVK22" s="582"/>
      <c r="BVL22" s="582"/>
      <c r="BVM22" s="582"/>
      <c r="BVN22" s="582"/>
      <c r="BVO22" s="582"/>
      <c r="BVP22" s="582"/>
      <c r="BVQ22" s="582"/>
      <c r="BVR22" s="582"/>
      <c r="BVS22" s="582"/>
      <c r="BVT22" s="582"/>
      <c r="BVU22" s="582"/>
      <c r="BVV22" s="582"/>
      <c r="BVW22" s="582"/>
      <c r="BVX22" s="582"/>
      <c r="BVY22" s="582"/>
      <c r="BVZ22" s="582"/>
      <c r="BWA22" s="582"/>
      <c r="BWB22" s="582"/>
      <c r="BWC22" s="582"/>
      <c r="BWD22" s="582"/>
      <c r="BWE22" s="582"/>
      <c r="BWF22" s="582"/>
      <c r="BWG22" s="582"/>
      <c r="BWH22" s="582"/>
      <c r="BWI22" s="582"/>
      <c r="BWJ22" s="582"/>
      <c r="BWK22" s="582"/>
      <c r="BWL22" s="582"/>
      <c r="BWM22" s="582"/>
      <c r="BWN22" s="582"/>
      <c r="BWO22" s="582"/>
      <c r="BWP22" s="582"/>
      <c r="BWQ22" s="582"/>
      <c r="BWR22" s="582"/>
      <c r="BWS22" s="582"/>
      <c r="BWT22" s="582"/>
      <c r="BWU22" s="582"/>
      <c r="BWV22" s="582"/>
      <c r="BWW22" s="582"/>
      <c r="BWX22" s="582"/>
      <c r="BWY22" s="582"/>
      <c r="BWZ22" s="582"/>
      <c r="BXA22" s="582"/>
      <c r="BXB22" s="582"/>
      <c r="BXC22" s="582"/>
      <c r="BXD22" s="582"/>
      <c r="BXE22" s="582"/>
      <c r="BXF22" s="582"/>
      <c r="BXG22" s="582"/>
      <c r="BXH22" s="582"/>
      <c r="BXI22" s="582"/>
      <c r="BXJ22" s="582"/>
      <c r="BXK22" s="582"/>
      <c r="BXL22" s="582"/>
      <c r="BXM22" s="582"/>
      <c r="BXN22" s="582"/>
      <c r="BXO22" s="582"/>
      <c r="BXP22" s="582"/>
      <c r="BXQ22" s="582"/>
      <c r="BXR22" s="582"/>
      <c r="BXS22" s="582"/>
      <c r="BXT22" s="582"/>
      <c r="BXU22" s="582"/>
      <c r="BXV22" s="582"/>
      <c r="BXW22" s="582"/>
      <c r="BXX22" s="582"/>
      <c r="BXY22" s="582"/>
      <c r="BXZ22" s="582"/>
      <c r="BYA22" s="582"/>
      <c r="BYB22" s="582"/>
      <c r="BYC22" s="582"/>
      <c r="BYD22" s="582"/>
      <c r="BYE22" s="582"/>
      <c r="BYF22" s="582"/>
      <c r="BYG22" s="582"/>
      <c r="BYH22" s="582"/>
      <c r="BYI22" s="582"/>
      <c r="BYJ22" s="582"/>
      <c r="BYK22" s="582"/>
      <c r="BYL22" s="582"/>
      <c r="BYM22" s="582"/>
      <c r="BYN22" s="582"/>
      <c r="BYO22" s="582"/>
      <c r="BYP22" s="582"/>
      <c r="BYQ22" s="582"/>
      <c r="BYR22" s="582"/>
      <c r="BYS22" s="582"/>
      <c r="BYT22" s="582"/>
      <c r="BYU22" s="582"/>
      <c r="BYV22" s="582"/>
      <c r="BYW22" s="582"/>
      <c r="BYX22" s="582"/>
      <c r="BYY22" s="582"/>
      <c r="BYZ22" s="582"/>
      <c r="BZA22" s="582"/>
      <c r="BZB22" s="582"/>
      <c r="BZC22" s="582"/>
      <c r="BZD22" s="582"/>
      <c r="BZE22" s="582"/>
      <c r="BZF22" s="582"/>
      <c r="BZG22" s="582"/>
      <c r="BZH22" s="582"/>
      <c r="BZI22" s="582"/>
      <c r="BZJ22" s="582"/>
      <c r="BZK22" s="582"/>
      <c r="BZL22" s="582"/>
      <c r="BZM22" s="582"/>
      <c r="BZN22" s="582"/>
      <c r="BZO22" s="582"/>
      <c r="BZP22" s="582"/>
      <c r="BZQ22" s="582"/>
      <c r="BZR22" s="582"/>
      <c r="BZS22" s="582"/>
      <c r="BZT22" s="582"/>
      <c r="BZU22" s="582"/>
      <c r="BZV22" s="582"/>
      <c r="BZW22" s="582"/>
      <c r="BZX22" s="582"/>
      <c r="BZY22" s="582"/>
      <c r="BZZ22" s="582"/>
      <c r="CAA22" s="582"/>
      <c r="CAB22" s="582"/>
      <c r="CAC22" s="582"/>
      <c r="CAD22" s="582"/>
      <c r="CAE22" s="582"/>
      <c r="CAF22" s="582"/>
      <c r="CAG22" s="582"/>
      <c r="CAH22" s="582"/>
      <c r="CAI22" s="582"/>
      <c r="CAJ22" s="582"/>
      <c r="CAK22" s="582"/>
      <c r="CAL22" s="582"/>
      <c r="CAM22" s="582"/>
      <c r="CAN22" s="582"/>
      <c r="CAO22" s="582"/>
      <c r="CAP22" s="582"/>
      <c r="CAQ22" s="582"/>
      <c r="CAR22" s="582"/>
      <c r="CAS22" s="582"/>
      <c r="CAT22" s="582"/>
      <c r="CAU22" s="582"/>
      <c r="CAV22" s="582"/>
      <c r="CAW22" s="582"/>
      <c r="CAX22" s="582"/>
      <c r="CAY22" s="582"/>
      <c r="CAZ22" s="582"/>
      <c r="CBA22" s="582"/>
      <c r="CBB22" s="582"/>
      <c r="CBC22" s="582"/>
      <c r="CBD22" s="582"/>
      <c r="CBE22" s="582"/>
      <c r="CBF22" s="582"/>
      <c r="CBG22" s="582"/>
      <c r="CBH22" s="582"/>
      <c r="CBI22" s="582"/>
      <c r="CBJ22" s="582"/>
      <c r="CBK22" s="582"/>
      <c r="CBL22" s="582"/>
      <c r="CBM22" s="582"/>
      <c r="CBN22" s="582"/>
      <c r="CBO22" s="582"/>
      <c r="CBP22" s="582"/>
      <c r="CBQ22" s="582"/>
      <c r="CBR22" s="582"/>
      <c r="CBS22" s="582"/>
      <c r="CBT22" s="582"/>
      <c r="CBU22" s="582"/>
      <c r="CBV22" s="582"/>
      <c r="CBW22" s="582"/>
      <c r="CBX22" s="582"/>
      <c r="CBY22" s="582"/>
      <c r="CBZ22" s="582"/>
      <c r="CCA22" s="582"/>
      <c r="CCB22" s="582"/>
      <c r="CCC22" s="582"/>
      <c r="CCD22" s="582"/>
      <c r="CCE22" s="582"/>
      <c r="CCF22" s="582"/>
      <c r="CCG22" s="582"/>
      <c r="CCH22" s="582"/>
      <c r="CCI22" s="582"/>
      <c r="CCJ22" s="582"/>
      <c r="CCK22" s="582"/>
      <c r="CCL22" s="582"/>
      <c r="CCM22" s="582"/>
      <c r="CCN22" s="582"/>
      <c r="CCO22" s="582"/>
      <c r="CCP22" s="582"/>
      <c r="CCQ22" s="582"/>
      <c r="CCR22" s="582"/>
      <c r="CCS22" s="582"/>
      <c r="CCT22" s="582"/>
      <c r="CCU22" s="582"/>
      <c r="CCV22" s="582"/>
      <c r="CCW22" s="582"/>
      <c r="CCX22" s="582"/>
      <c r="CCY22" s="582"/>
      <c r="CCZ22" s="582"/>
      <c r="CDA22" s="582"/>
      <c r="CDB22" s="582"/>
      <c r="CDC22" s="582"/>
      <c r="CDD22" s="582"/>
      <c r="CDE22" s="582"/>
      <c r="CDF22" s="582"/>
      <c r="CDG22" s="582"/>
      <c r="CDH22" s="582"/>
      <c r="CDI22" s="582"/>
      <c r="CDJ22" s="582"/>
      <c r="CDK22" s="582"/>
      <c r="CDL22" s="582"/>
      <c r="CDM22" s="582"/>
      <c r="CDN22" s="582"/>
      <c r="CDO22" s="582"/>
      <c r="CDP22" s="582"/>
      <c r="CDQ22" s="582"/>
      <c r="CDR22" s="582"/>
      <c r="CDS22" s="582"/>
      <c r="CDT22" s="582"/>
      <c r="CDU22" s="582"/>
      <c r="CDV22" s="582"/>
      <c r="CDW22" s="582"/>
      <c r="CDX22" s="582"/>
      <c r="CDY22" s="582"/>
      <c r="CDZ22" s="582"/>
      <c r="CEA22" s="582"/>
      <c r="CEB22" s="582"/>
      <c r="CEC22" s="582"/>
      <c r="CED22" s="582"/>
      <c r="CEE22" s="582"/>
      <c r="CEF22" s="582"/>
      <c r="CEG22" s="582"/>
      <c r="CEH22" s="582"/>
      <c r="CEI22" s="582"/>
      <c r="CEJ22" s="582"/>
      <c r="CEK22" s="582"/>
      <c r="CEL22" s="582"/>
      <c r="CEM22" s="582"/>
      <c r="CEN22" s="582"/>
      <c r="CEO22" s="582"/>
      <c r="CEP22" s="582"/>
      <c r="CEQ22" s="582"/>
      <c r="CER22" s="582"/>
      <c r="CES22" s="582"/>
      <c r="CET22" s="582"/>
      <c r="CEU22" s="582"/>
      <c r="CEV22" s="582"/>
      <c r="CEW22" s="582"/>
      <c r="CEX22" s="582"/>
      <c r="CEY22" s="582"/>
      <c r="CEZ22" s="582"/>
      <c r="CFA22" s="582"/>
      <c r="CFB22" s="582"/>
      <c r="CFC22" s="582"/>
      <c r="CFD22" s="582"/>
      <c r="CFE22" s="582"/>
      <c r="CFF22" s="582"/>
      <c r="CFG22" s="582"/>
      <c r="CFH22" s="582"/>
      <c r="CFI22" s="582"/>
      <c r="CFJ22" s="582"/>
      <c r="CFK22" s="582"/>
      <c r="CFL22" s="582"/>
      <c r="CFM22" s="582"/>
      <c r="CFN22" s="582"/>
      <c r="CFO22" s="582"/>
      <c r="CFP22" s="582"/>
      <c r="CFQ22" s="582"/>
      <c r="CFR22" s="582"/>
      <c r="CFS22" s="582"/>
      <c r="CFT22" s="582"/>
      <c r="CFU22" s="582"/>
      <c r="CFV22" s="582"/>
      <c r="CFW22" s="582"/>
      <c r="CFX22" s="582"/>
      <c r="CFY22" s="582"/>
      <c r="CFZ22" s="582"/>
      <c r="CGA22" s="582"/>
      <c r="CGB22" s="582"/>
      <c r="CGC22" s="582"/>
      <c r="CGD22" s="582"/>
      <c r="CGE22" s="582"/>
      <c r="CGF22" s="582"/>
      <c r="CGG22" s="582"/>
      <c r="CGH22" s="582"/>
      <c r="CGI22" s="582"/>
      <c r="CGJ22" s="582"/>
      <c r="CGK22" s="582"/>
      <c r="CGL22" s="582"/>
      <c r="CGM22" s="582"/>
      <c r="CGN22" s="582"/>
      <c r="CGO22" s="582"/>
      <c r="CGP22" s="582"/>
      <c r="CGQ22" s="582"/>
      <c r="CGR22" s="582"/>
      <c r="CGS22" s="582"/>
      <c r="CGT22" s="582"/>
      <c r="CGU22" s="582"/>
      <c r="CGV22" s="582"/>
      <c r="CGW22" s="582"/>
      <c r="CGX22" s="582"/>
      <c r="CGY22" s="582"/>
      <c r="CGZ22" s="582"/>
      <c r="CHA22" s="582"/>
      <c r="CHB22" s="582"/>
      <c r="CHC22" s="582"/>
      <c r="CHD22" s="582"/>
      <c r="CHE22" s="582"/>
      <c r="CHF22" s="582"/>
      <c r="CHG22" s="582"/>
      <c r="CHH22" s="582"/>
      <c r="CHI22" s="582"/>
      <c r="CHJ22" s="582"/>
      <c r="CHK22" s="582"/>
      <c r="CHL22" s="582"/>
      <c r="CHM22" s="582"/>
      <c r="CHN22" s="582"/>
      <c r="CHO22" s="582"/>
      <c r="CHP22" s="582"/>
      <c r="CHQ22" s="582"/>
      <c r="CHR22" s="582"/>
      <c r="CHS22" s="582"/>
      <c r="CHT22" s="582"/>
      <c r="CHU22" s="582"/>
      <c r="CHV22" s="582"/>
      <c r="CHW22" s="582"/>
      <c r="CHX22" s="582"/>
      <c r="CHY22" s="582"/>
      <c r="CHZ22" s="582"/>
      <c r="CIA22" s="582"/>
      <c r="CIB22" s="582"/>
      <c r="CIC22" s="582"/>
      <c r="CID22" s="582"/>
      <c r="CIE22" s="582"/>
      <c r="CIF22" s="582"/>
      <c r="CIG22" s="582"/>
      <c r="CIH22" s="582"/>
      <c r="CII22" s="582"/>
      <c r="CIJ22" s="582"/>
      <c r="CIK22" s="582"/>
      <c r="CIL22" s="582"/>
      <c r="CIM22" s="582"/>
      <c r="CIN22" s="582"/>
      <c r="CIO22" s="582"/>
      <c r="CIP22" s="582"/>
      <c r="CIQ22" s="582"/>
      <c r="CIR22" s="582"/>
      <c r="CIS22" s="582"/>
      <c r="CIT22" s="582"/>
      <c r="CIU22" s="582"/>
      <c r="CIV22" s="582"/>
      <c r="CIW22" s="582"/>
      <c r="CIX22" s="582"/>
      <c r="CIY22" s="582"/>
      <c r="CIZ22" s="582"/>
      <c r="CJA22" s="582"/>
      <c r="CJB22" s="582"/>
      <c r="CJC22" s="582"/>
      <c r="CJD22" s="582"/>
      <c r="CJE22" s="582"/>
      <c r="CJF22" s="582"/>
      <c r="CJG22" s="582"/>
      <c r="CJH22" s="582"/>
      <c r="CJI22" s="582"/>
      <c r="CJJ22" s="582"/>
      <c r="CJK22" s="582"/>
      <c r="CJL22" s="582"/>
      <c r="CJM22" s="582"/>
      <c r="CJN22" s="582"/>
      <c r="CJO22" s="582"/>
      <c r="CJP22" s="582"/>
      <c r="CJQ22" s="582"/>
      <c r="CJR22" s="582"/>
      <c r="CJS22" s="582"/>
      <c r="CJT22" s="582"/>
      <c r="CJU22" s="582"/>
      <c r="CJV22" s="582"/>
      <c r="CJW22" s="582"/>
      <c r="CJX22" s="582"/>
      <c r="CJY22" s="582"/>
      <c r="CJZ22" s="582"/>
      <c r="CKA22" s="582"/>
      <c r="CKB22" s="582"/>
      <c r="CKC22" s="582"/>
      <c r="CKD22" s="582"/>
      <c r="CKE22" s="582"/>
      <c r="CKF22" s="582"/>
      <c r="CKG22" s="582"/>
      <c r="CKH22" s="582"/>
      <c r="CKI22" s="582"/>
      <c r="CKJ22" s="582"/>
      <c r="CKK22" s="582"/>
      <c r="CKL22" s="582"/>
      <c r="CKM22" s="582"/>
      <c r="CKN22" s="582"/>
      <c r="CKO22" s="582"/>
      <c r="CKP22" s="582"/>
      <c r="CKQ22" s="582"/>
      <c r="CKR22" s="582"/>
      <c r="CKS22" s="582"/>
      <c r="CKT22" s="582"/>
      <c r="CKU22" s="582"/>
      <c r="CKV22" s="582"/>
      <c r="CKW22" s="582"/>
      <c r="CKX22" s="582"/>
      <c r="CKY22" s="582"/>
      <c r="CKZ22" s="582"/>
      <c r="CLA22" s="582"/>
      <c r="CLB22" s="582"/>
      <c r="CLC22" s="582"/>
      <c r="CLD22" s="582"/>
      <c r="CLE22" s="582"/>
      <c r="CLF22" s="582"/>
      <c r="CLG22" s="582"/>
      <c r="CLH22" s="582"/>
      <c r="CLI22" s="582"/>
      <c r="CLJ22" s="582"/>
      <c r="CLK22" s="582"/>
      <c r="CLL22" s="582"/>
      <c r="CLM22" s="582"/>
      <c r="CLN22" s="582"/>
      <c r="CLO22" s="582"/>
      <c r="CLP22" s="582"/>
      <c r="CLQ22" s="582"/>
      <c r="CLR22" s="582"/>
      <c r="CLS22" s="582"/>
      <c r="CLT22" s="582"/>
      <c r="CLU22" s="582"/>
      <c r="CLV22" s="582"/>
      <c r="CLW22" s="582"/>
      <c r="CLX22" s="582"/>
      <c r="CLY22" s="582"/>
      <c r="CLZ22" s="582"/>
      <c r="CMA22" s="582"/>
      <c r="CMB22" s="582"/>
      <c r="CMC22" s="582"/>
      <c r="CMD22" s="582"/>
      <c r="CME22" s="582"/>
      <c r="CMF22" s="582"/>
      <c r="CMG22" s="582"/>
      <c r="CMH22" s="582"/>
      <c r="CMI22" s="582"/>
      <c r="CMJ22" s="582"/>
      <c r="CMK22" s="582"/>
      <c r="CML22" s="582"/>
      <c r="CMM22" s="582"/>
      <c r="CMN22" s="582"/>
      <c r="CMO22" s="582"/>
      <c r="CMP22" s="582"/>
      <c r="CMQ22" s="582"/>
      <c r="CMR22" s="582"/>
      <c r="CMS22" s="582"/>
      <c r="CMT22" s="582"/>
      <c r="CMU22" s="582"/>
      <c r="CMV22" s="582"/>
      <c r="CMW22" s="582"/>
      <c r="CMX22" s="582"/>
      <c r="CMY22" s="582"/>
      <c r="CMZ22" s="582"/>
      <c r="CNA22" s="582"/>
      <c r="CNB22" s="582"/>
      <c r="CNC22" s="582"/>
      <c r="CND22" s="582"/>
      <c r="CNE22" s="582"/>
      <c r="CNF22" s="582"/>
      <c r="CNG22" s="582"/>
      <c r="CNH22" s="582"/>
      <c r="CNI22" s="582"/>
      <c r="CNJ22" s="582"/>
      <c r="CNK22" s="582"/>
      <c r="CNL22" s="582"/>
      <c r="CNM22" s="582"/>
      <c r="CNN22" s="582"/>
      <c r="CNO22" s="582"/>
      <c r="CNP22" s="582"/>
      <c r="CNQ22" s="582"/>
      <c r="CNR22" s="582"/>
      <c r="CNS22" s="582"/>
      <c r="CNT22" s="582"/>
      <c r="CNU22" s="582"/>
      <c r="CNV22" s="582"/>
      <c r="CNW22" s="582"/>
      <c r="CNX22" s="582"/>
      <c r="CNY22" s="582"/>
      <c r="CNZ22" s="582"/>
      <c r="COA22" s="582"/>
      <c r="COB22" s="582"/>
      <c r="COC22" s="582"/>
      <c r="COD22" s="582"/>
      <c r="COE22" s="582"/>
      <c r="COF22" s="582"/>
      <c r="COG22" s="582"/>
      <c r="COH22" s="582"/>
      <c r="COI22" s="582"/>
      <c r="COJ22" s="582"/>
      <c r="COK22" s="582"/>
      <c r="COL22" s="582"/>
      <c r="COM22" s="582"/>
      <c r="CON22" s="582"/>
      <c r="COO22" s="582"/>
      <c r="COP22" s="582"/>
      <c r="COQ22" s="582"/>
      <c r="COR22" s="582"/>
      <c r="COS22" s="582"/>
      <c r="COT22" s="582"/>
      <c r="COU22" s="582"/>
      <c r="COV22" s="582"/>
      <c r="COW22" s="582"/>
      <c r="COX22" s="582"/>
      <c r="COY22" s="582"/>
      <c r="COZ22" s="582"/>
      <c r="CPA22" s="582"/>
      <c r="CPB22" s="582"/>
      <c r="CPC22" s="582"/>
      <c r="CPD22" s="582"/>
      <c r="CPE22" s="582"/>
      <c r="CPF22" s="582"/>
      <c r="CPG22" s="582"/>
      <c r="CPH22" s="582"/>
      <c r="CPI22" s="582"/>
      <c r="CPJ22" s="582"/>
      <c r="CPK22" s="582"/>
      <c r="CPL22" s="582"/>
      <c r="CPM22" s="582"/>
      <c r="CPN22" s="582"/>
      <c r="CPO22" s="582"/>
      <c r="CPP22" s="582"/>
      <c r="CPQ22" s="582"/>
      <c r="CPR22" s="582"/>
      <c r="CPS22" s="582"/>
      <c r="CPT22" s="582"/>
      <c r="CPU22" s="582"/>
      <c r="CPV22" s="582"/>
      <c r="CPW22" s="582"/>
      <c r="CPX22" s="582"/>
      <c r="CPY22" s="582"/>
      <c r="CPZ22" s="582"/>
      <c r="CQA22" s="582"/>
      <c r="CQB22" s="582"/>
      <c r="CQC22" s="582"/>
      <c r="CQD22" s="582"/>
      <c r="CQE22" s="582"/>
      <c r="CQF22" s="582"/>
      <c r="CQG22" s="582"/>
      <c r="CQH22" s="582"/>
      <c r="CQI22" s="582"/>
      <c r="CQJ22" s="582"/>
      <c r="CQK22" s="582"/>
      <c r="CQL22" s="582"/>
      <c r="CQM22" s="582"/>
      <c r="CQN22" s="582"/>
      <c r="CQO22" s="582"/>
      <c r="CQP22" s="582"/>
      <c r="CQQ22" s="582"/>
      <c r="CQR22" s="582"/>
      <c r="CQS22" s="582"/>
      <c r="CQT22" s="582"/>
      <c r="CQU22" s="582"/>
      <c r="CQV22" s="582"/>
      <c r="CQW22" s="582"/>
      <c r="CQX22" s="582"/>
      <c r="CQY22" s="582"/>
      <c r="CQZ22" s="582"/>
      <c r="CRA22" s="582"/>
      <c r="CRB22" s="582"/>
      <c r="CRC22" s="582"/>
      <c r="CRD22" s="582"/>
      <c r="CRE22" s="582"/>
      <c r="CRF22" s="582"/>
      <c r="CRG22" s="582"/>
      <c r="CRH22" s="582"/>
      <c r="CRI22" s="582"/>
      <c r="CRJ22" s="582"/>
      <c r="CRK22" s="582"/>
      <c r="CRL22" s="582"/>
      <c r="CRM22" s="582"/>
      <c r="CRN22" s="582"/>
      <c r="CRO22" s="582"/>
      <c r="CRP22" s="582"/>
      <c r="CRQ22" s="582"/>
      <c r="CRR22" s="582"/>
      <c r="CRS22" s="582"/>
      <c r="CRT22" s="582"/>
      <c r="CRU22" s="582"/>
      <c r="CRV22" s="582"/>
      <c r="CRW22" s="582"/>
      <c r="CRX22" s="582"/>
      <c r="CRY22" s="582"/>
      <c r="CRZ22" s="582"/>
      <c r="CSA22" s="582"/>
      <c r="CSB22" s="582"/>
      <c r="CSC22" s="582"/>
      <c r="CSD22" s="582"/>
      <c r="CSE22" s="582"/>
      <c r="CSF22" s="582"/>
      <c r="CSG22" s="582"/>
      <c r="CSH22" s="582"/>
      <c r="CSI22" s="582"/>
      <c r="CSJ22" s="582"/>
      <c r="CSK22" s="582"/>
      <c r="CSL22" s="582"/>
      <c r="CSM22" s="582"/>
      <c r="CSN22" s="582"/>
      <c r="CSO22" s="582"/>
      <c r="CSP22" s="582"/>
      <c r="CSQ22" s="582"/>
      <c r="CSR22" s="582"/>
      <c r="CSS22" s="582"/>
      <c r="CST22" s="582"/>
      <c r="CSU22" s="582"/>
      <c r="CSV22" s="582"/>
      <c r="CSW22" s="582"/>
      <c r="CSX22" s="582"/>
      <c r="CSY22" s="582"/>
      <c r="CSZ22" s="582"/>
      <c r="CTA22" s="582"/>
      <c r="CTB22" s="582"/>
      <c r="CTC22" s="582"/>
      <c r="CTD22" s="582"/>
      <c r="CTE22" s="582"/>
      <c r="CTF22" s="582"/>
      <c r="CTG22" s="582"/>
      <c r="CTH22" s="582"/>
      <c r="CTI22" s="582"/>
      <c r="CTJ22" s="582"/>
      <c r="CTK22" s="582"/>
      <c r="CTL22" s="582"/>
      <c r="CTM22" s="582"/>
      <c r="CTN22" s="582"/>
      <c r="CTO22" s="582"/>
      <c r="CTP22" s="582"/>
      <c r="CTQ22" s="582"/>
      <c r="CTR22" s="582"/>
      <c r="CTS22" s="582"/>
      <c r="CTT22" s="582"/>
      <c r="CTU22" s="582"/>
      <c r="CTV22" s="582"/>
      <c r="CTW22" s="582"/>
      <c r="CTX22" s="582"/>
      <c r="CTY22" s="582"/>
      <c r="CTZ22" s="582"/>
      <c r="CUA22" s="582"/>
      <c r="CUB22" s="582"/>
      <c r="CUC22" s="582"/>
      <c r="CUD22" s="582"/>
      <c r="CUE22" s="582"/>
      <c r="CUF22" s="582"/>
      <c r="CUG22" s="582"/>
      <c r="CUH22" s="582"/>
      <c r="CUI22" s="582"/>
      <c r="CUJ22" s="582"/>
      <c r="CUK22" s="582"/>
      <c r="CUL22" s="582"/>
      <c r="CUM22" s="582"/>
      <c r="CUN22" s="582"/>
      <c r="CUO22" s="582"/>
      <c r="CUP22" s="582"/>
      <c r="CUQ22" s="582"/>
      <c r="CUR22" s="582"/>
      <c r="CUS22" s="582"/>
      <c r="CUT22" s="582"/>
      <c r="CUU22" s="582"/>
      <c r="CUV22" s="582"/>
      <c r="CUW22" s="582"/>
      <c r="CUX22" s="582"/>
      <c r="CUY22" s="582"/>
      <c r="CUZ22" s="582"/>
      <c r="CVA22" s="582"/>
      <c r="CVB22" s="582"/>
      <c r="CVC22" s="582"/>
      <c r="CVD22" s="582"/>
      <c r="CVE22" s="582"/>
      <c r="CVF22" s="582"/>
      <c r="CVG22" s="582"/>
      <c r="CVH22" s="582"/>
      <c r="CVI22" s="582"/>
      <c r="CVJ22" s="582"/>
      <c r="CVK22" s="582"/>
      <c r="CVL22" s="582"/>
      <c r="CVM22" s="582"/>
      <c r="CVN22" s="582"/>
      <c r="CVO22" s="582"/>
      <c r="CVP22" s="582"/>
      <c r="CVQ22" s="582"/>
      <c r="CVR22" s="582"/>
      <c r="CVS22" s="582"/>
      <c r="CVT22" s="582"/>
      <c r="CVU22" s="582"/>
      <c r="CVV22" s="582"/>
      <c r="CVW22" s="582"/>
      <c r="CVX22" s="582"/>
      <c r="CVY22" s="582"/>
      <c r="CVZ22" s="582"/>
      <c r="CWA22" s="582"/>
      <c r="CWB22" s="582"/>
      <c r="CWC22" s="582"/>
      <c r="CWD22" s="582"/>
      <c r="CWE22" s="582"/>
      <c r="CWF22" s="582"/>
      <c r="CWG22" s="582"/>
      <c r="CWH22" s="582"/>
      <c r="CWI22" s="582"/>
      <c r="CWJ22" s="582"/>
      <c r="CWK22" s="582"/>
      <c r="CWL22" s="582"/>
      <c r="CWM22" s="582"/>
      <c r="CWN22" s="582"/>
      <c r="CWO22" s="582"/>
      <c r="CWP22" s="582"/>
      <c r="CWQ22" s="582"/>
      <c r="CWR22" s="582"/>
      <c r="CWS22" s="582"/>
      <c r="CWT22" s="582"/>
      <c r="CWU22" s="582"/>
      <c r="CWV22" s="582"/>
      <c r="CWW22" s="582"/>
      <c r="CWX22" s="582"/>
      <c r="CWY22" s="582"/>
      <c r="CWZ22" s="582"/>
      <c r="CXA22" s="582"/>
      <c r="CXB22" s="582"/>
      <c r="CXC22" s="582"/>
      <c r="CXD22" s="582"/>
      <c r="CXE22" s="582"/>
      <c r="CXF22" s="582"/>
      <c r="CXG22" s="582"/>
      <c r="CXH22" s="582"/>
      <c r="CXI22" s="582"/>
      <c r="CXJ22" s="582"/>
      <c r="CXK22" s="582"/>
      <c r="CXL22" s="582"/>
      <c r="CXM22" s="582"/>
      <c r="CXN22" s="582"/>
      <c r="CXO22" s="582"/>
      <c r="CXP22" s="582"/>
      <c r="CXQ22" s="582"/>
      <c r="CXR22" s="582"/>
      <c r="CXS22" s="582"/>
      <c r="CXT22" s="582"/>
      <c r="CXU22" s="582"/>
      <c r="CXV22" s="582"/>
      <c r="CXW22" s="582"/>
      <c r="CXX22" s="582"/>
      <c r="CXY22" s="582"/>
      <c r="CXZ22" s="582"/>
      <c r="CYA22" s="582"/>
      <c r="CYB22" s="582"/>
      <c r="CYC22" s="582"/>
      <c r="CYD22" s="582"/>
      <c r="CYE22" s="582"/>
      <c r="CYF22" s="582"/>
      <c r="CYG22" s="582"/>
      <c r="CYH22" s="582"/>
      <c r="CYI22" s="582"/>
      <c r="CYJ22" s="582"/>
      <c r="CYK22" s="582"/>
      <c r="CYL22" s="582"/>
      <c r="CYM22" s="582"/>
      <c r="CYN22" s="582"/>
      <c r="CYO22" s="582"/>
      <c r="CYP22" s="582"/>
      <c r="CYQ22" s="582"/>
      <c r="CYR22" s="582"/>
      <c r="CYS22" s="582"/>
      <c r="CYT22" s="582"/>
      <c r="CYU22" s="582"/>
      <c r="CYV22" s="582"/>
      <c r="CYW22" s="582"/>
      <c r="CYX22" s="582"/>
      <c r="CYY22" s="582"/>
      <c r="CYZ22" s="582"/>
      <c r="CZA22" s="582"/>
      <c r="CZB22" s="582"/>
      <c r="CZC22" s="582"/>
      <c r="CZD22" s="582"/>
      <c r="CZE22" s="582"/>
      <c r="CZF22" s="582"/>
      <c r="CZG22" s="582"/>
      <c r="CZH22" s="582"/>
      <c r="CZI22" s="582"/>
      <c r="CZJ22" s="582"/>
      <c r="CZK22" s="582"/>
      <c r="CZL22" s="582"/>
      <c r="CZM22" s="582"/>
      <c r="CZN22" s="582"/>
      <c r="CZO22" s="582"/>
      <c r="CZP22" s="582"/>
      <c r="CZQ22" s="582"/>
      <c r="CZR22" s="582"/>
      <c r="CZS22" s="582"/>
      <c r="CZT22" s="582"/>
      <c r="CZU22" s="582"/>
      <c r="CZV22" s="582"/>
      <c r="CZW22" s="582"/>
      <c r="CZX22" s="582"/>
      <c r="CZY22" s="582"/>
      <c r="CZZ22" s="582"/>
      <c r="DAA22" s="582"/>
      <c r="DAB22" s="582"/>
      <c r="DAC22" s="582"/>
      <c r="DAD22" s="582"/>
      <c r="DAE22" s="582"/>
      <c r="DAF22" s="582"/>
      <c r="DAG22" s="582"/>
      <c r="DAH22" s="582"/>
      <c r="DAI22" s="582"/>
      <c r="DAJ22" s="582"/>
      <c r="DAK22" s="582"/>
      <c r="DAL22" s="582"/>
      <c r="DAM22" s="582"/>
      <c r="DAN22" s="582"/>
      <c r="DAO22" s="582"/>
      <c r="DAP22" s="582"/>
      <c r="DAQ22" s="582"/>
      <c r="DAR22" s="582"/>
      <c r="DAS22" s="582"/>
      <c r="DAT22" s="582"/>
      <c r="DAU22" s="582"/>
      <c r="DAV22" s="582"/>
      <c r="DAW22" s="582"/>
      <c r="DAX22" s="582"/>
      <c r="DAY22" s="582"/>
      <c r="DAZ22" s="582"/>
      <c r="DBA22" s="582"/>
      <c r="DBB22" s="582"/>
      <c r="DBC22" s="582"/>
      <c r="DBD22" s="582"/>
      <c r="DBE22" s="582"/>
      <c r="DBF22" s="582"/>
      <c r="DBG22" s="582"/>
      <c r="DBH22" s="582"/>
      <c r="DBI22" s="582"/>
      <c r="DBJ22" s="582"/>
      <c r="DBK22" s="582"/>
      <c r="DBL22" s="582"/>
      <c r="DBM22" s="582"/>
      <c r="DBN22" s="582"/>
      <c r="DBO22" s="582"/>
      <c r="DBP22" s="582"/>
      <c r="DBQ22" s="582"/>
      <c r="DBR22" s="582"/>
      <c r="DBS22" s="582"/>
      <c r="DBT22" s="582"/>
      <c r="DBU22" s="582"/>
      <c r="DBV22" s="582"/>
      <c r="DBW22" s="582"/>
      <c r="DBX22" s="582"/>
      <c r="DBY22" s="582"/>
      <c r="DBZ22" s="582"/>
      <c r="DCA22" s="582"/>
      <c r="DCB22" s="582"/>
      <c r="DCC22" s="582"/>
      <c r="DCD22" s="582"/>
      <c r="DCE22" s="582"/>
      <c r="DCF22" s="582"/>
      <c r="DCG22" s="582"/>
      <c r="DCH22" s="582"/>
      <c r="DCI22" s="582"/>
      <c r="DCJ22" s="582"/>
      <c r="DCK22" s="582"/>
      <c r="DCL22" s="582"/>
      <c r="DCM22" s="582"/>
      <c r="DCN22" s="582"/>
      <c r="DCO22" s="582"/>
      <c r="DCP22" s="582"/>
      <c r="DCQ22" s="582"/>
      <c r="DCR22" s="582"/>
      <c r="DCS22" s="582"/>
      <c r="DCT22" s="582"/>
      <c r="DCU22" s="582"/>
      <c r="DCV22" s="582"/>
      <c r="DCW22" s="582"/>
      <c r="DCX22" s="582"/>
      <c r="DCY22" s="582"/>
      <c r="DCZ22" s="582"/>
      <c r="DDA22" s="582"/>
      <c r="DDB22" s="582"/>
      <c r="DDC22" s="582"/>
      <c r="DDD22" s="582"/>
      <c r="DDE22" s="582"/>
      <c r="DDF22" s="582"/>
      <c r="DDG22" s="582"/>
      <c r="DDH22" s="582"/>
      <c r="DDI22" s="582"/>
      <c r="DDJ22" s="582"/>
      <c r="DDK22" s="582"/>
      <c r="DDL22" s="582"/>
      <c r="DDM22" s="582"/>
      <c r="DDN22" s="582"/>
      <c r="DDO22" s="582"/>
      <c r="DDP22" s="582"/>
      <c r="DDQ22" s="582"/>
      <c r="DDR22" s="582"/>
      <c r="DDS22" s="582"/>
      <c r="DDT22" s="582"/>
      <c r="DDU22" s="582"/>
      <c r="DDV22" s="582"/>
      <c r="DDW22" s="582"/>
      <c r="DDX22" s="582"/>
      <c r="DDY22" s="582"/>
      <c r="DDZ22" s="582"/>
      <c r="DEA22" s="582"/>
      <c r="DEB22" s="582"/>
      <c r="DEC22" s="582"/>
      <c r="DED22" s="582"/>
      <c r="DEE22" s="582"/>
      <c r="DEF22" s="582"/>
      <c r="DEG22" s="582"/>
      <c r="DEH22" s="582"/>
      <c r="DEI22" s="582"/>
      <c r="DEJ22" s="582"/>
      <c r="DEK22" s="582"/>
      <c r="DEL22" s="582"/>
      <c r="DEM22" s="582"/>
      <c r="DEN22" s="582"/>
      <c r="DEO22" s="582"/>
      <c r="DEP22" s="582"/>
      <c r="DEQ22" s="582"/>
      <c r="DER22" s="582"/>
      <c r="DES22" s="582"/>
      <c r="DET22" s="582"/>
      <c r="DEU22" s="582"/>
      <c r="DEV22" s="582"/>
      <c r="DEW22" s="582"/>
      <c r="DEX22" s="582"/>
      <c r="DEY22" s="582"/>
      <c r="DEZ22" s="582"/>
      <c r="DFA22" s="582"/>
      <c r="DFB22" s="582"/>
      <c r="DFC22" s="582"/>
      <c r="DFD22" s="582"/>
      <c r="DFE22" s="582"/>
      <c r="DFF22" s="582"/>
      <c r="DFG22" s="582"/>
      <c r="DFH22" s="582"/>
      <c r="DFI22" s="582"/>
      <c r="DFJ22" s="582"/>
      <c r="DFK22" s="582"/>
      <c r="DFL22" s="582"/>
      <c r="DFM22" s="582"/>
      <c r="DFN22" s="582"/>
      <c r="DFO22" s="582"/>
      <c r="DFP22" s="582"/>
      <c r="DFQ22" s="582"/>
      <c r="DFR22" s="582"/>
      <c r="DFS22" s="582"/>
      <c r="DFT22" s="582"/>
      <c r="DFU22" s="582"/>
      <c r="DFV22" s="582"/>
      <c r="DFW22" s="582"/>
      <c r="DFX22" s="582"/>
      <c r="DFY22" s="582"/>
      <c r="DFZ22" s="582"/>
      <c r="DGA22" s="582"/>
      <c r="DGB22" s="582"/>
      <c r="DGC22" s="582"/>
      <c r="DGD22" s="582"/>
      <c r="DGE22" s="582"/>
      <c r="DGF22" s="582"/>
      <c r="DGG22" s="582"/>
      <c r="DGH22" s="582"/>
      <c r="DGI22" s="582"/>
      <c r="DGJ22" s="582"/>
      <c r="DGK22" s="582"/>
      <c r="DGL22" s="582"/>
      <c r="DGM22" s="582"/>
      <c r="DGN22" s="582"/>
      <c r="DGO22" s="582"/>
      <c r="DGP22" s="582"/>
      <c r="DGQ22" s="582"/>
      <c r="DGR22" s="582"/>
      <c r="DGS22" s="582"/>
      <c r="DGT22" s="582"/>
      <c r="DGU22" s="582"/>
      <c r="DGV22" s="582"/>
      <c r="DGW22" s="582"/>
      <c r="DGX22" s="582"/>
      <c r="DGY22" s="582"/>
      <c r="DGZ22" s="582"/>
      <c r="DHA22" s="582"/>
      <c r="DHB22" s="582"/>
      <c r="DHC22" s="582"/>
      <c r="DHD22" s="582"/>
      <c r="DHE22" s="582"/>
      <c r="DHF22" s="582"/>
      <c r="DHG22" s="582"/>
      <c r="DHH22" s="582"/>
      <c r="DHI22" s="582"/>
      <c r="DHJ22" s="582"/>
      <c r="DHK22" s="582"/>
      <c r="DHL22" s="582"/>
      <c r="DHM22" s="582"/>
      <c r="DHN22" s="582"/>
      <c r="DHO22" s="582"/>
      <c r="DHP22" s="582"/>
      <c r="DHQ22" s="582"/>
      <c r="DHR22" s="582"/>
      <c r="DHS22" s="582"/>
      <c r="DHT22" s="582"/>
      <c r="DHU22" s="582"/>
      <c r="DHV22" s="582"/>
      <c r="DHW22" s="582"/>
      <c r="DHX22" s="582"/>
      <c r="DHY22" s="582"/>
      <c r="DHZ22" s="582"/>
      <c r="DIA22" s="582"/>
      <c r="DIB22" s="582"/>
      <c r="DIC22" s="582"/>
      <c r="DID22" s="582"/>
      <c r="DIE22" s="582"/>
      <c r="DIF22" s="582"/>
      <c r="DIG22" s="582"/>
      <c r="DIH22" s="582"/>
      <c r="DII22" s="582"/>
      <c r="DIJ22" s="582"/>
      <c r="DIK22" s="582"/>
      <c r="DIL22" s="582"/>
      <c r="DIM22" s="582"/>
      <c r="DIN22" s="582"/>
      <c r="DIO22" s="582"/>
      <c r="DIP22" s="582"/>
      <c r="DIQ22" s="582"/>
      <c r="DIR22" s="582"/>
      <c r="DIS22" s="582"/>
      <c r="DIT22" s="582"/>
      <c r="DIU22" s="582"/>
      <c r="DIV22" s="582"/>
      <c r="DIW22" s="582"/>
      <c r="DIX22" s="582"/>
      <c r="DIY22" s="582"/>
      <c r="DIZ22" s="582"/>
      <c r="DJA22" s="582"/>
      <c r="DJB22" s="582"/>
      <c r="DJC22" s="582"/>
      <c r="DJD22" s="582"/>
      <c r="DJE22" s="582"/>
      <c r="DJF22" s="582"/>
      <c r="DJG22" s="582"/>
      <c r="DJH22" s="582"/>
      <c r="DJI22" s="582"/>
      <c r="DJJ22" s="582"/>
      <c r="DJK22" s="582"/>
      <c r="DJL22" s="582"/>
      <c r="DJM22" s="582"/>
      <c r="DJN22" s="582"/>
      <c r="DJO22" s="582"/>
      <c r="DJP22" s="582"/>
      <c r="DJQ22" s="582"/>
      <c r="DJR22" s="582"/>
      <c r="DJS22" s="582"/>
      <c r="DJT22" s="582"/>
      <c r="DJU22" s="582"/>
      <c r="DJV22" s="582"/>
      <c r="DJW22" s="582"/>
      <c r="DJX22" s="582"/>
      <c r="DJY22" s="582"/>
      <c r="DJZ22" s="582"/>
      <c r="DKA22" s="582"/>
      <c r="DKB22" s="582"/>
      <c r="DKC22" s="582"/>
      <c r="DKD22" s="582"/>
      <c r="DKE22" s="582"/>
      <c r="DKF22" s="582"/>
      <c r="DKG22" s="582"/>
      <c r="DKH22" s="582"/>
      <c r="DKI22" s="582"/>
      <c r="DKJ22" s="582"/>
      <c r="DKK22" s="582"/>
      <c r="DKL22" s="582"/>
      <c r="DKM22" s="582"/>
      <c r="DKN22" s="582"/>
      <c r="DKO22" s="582"/>
      <c r="DKP22" s="582"/>
      <c r="DKQ22" s="582"/>
      <c r="DKR22" s="582"/>
      <c r="DKS22" s="582"/>
      <c r="DKT22" s="582"/>
      <c r="DKU22" s="582"/>
      <c r="DKV22" s="582"/>
      <c r="DKW22" s="582"/>
      <c r="DKX22" s="582"/>
      <c r="DKY22" s="582"/>
      <c r="DKZ22" s="582"/>
      <c r="DLA22" s="582"/>
      <c r="DLB22" s="582"/>
      <c r="DLC22" s="582"/>
      <c r="DLD22" s="582"/>
      <c r="DLE22" s="582"/>
      <c r="DLF22" s="582"/>
      <c r="DLG22" s="582"/>
      <c r="DLH22" s="582"/>
      <c r="DLI22" s="582"/>
      <c r="DLJ22" s="582"/>
      <c r="DLK22" s="582"/>
      <c r="DLL22" s="582"/>
      <c r="DLM22" s="582"/>
      <c r="DLN22" s="582"/>
      <c r="DLO22" s="582"/>
      <c r="DLP22" s="582"/>
      <c r="DLQ22" s="582"/>
      <c r="DLR22" s="582"/>
      <c r="DLS22" s="582"/>
      <c r="DLT22" s="582"/>
      <c r="DLU22" s="582"/>
      <c r="DLV22" s="582"/>
      <c r="DLW22" s="582"/>
      <c r="DLX22" s="582"/>
      <c r="DLY22" s="582"/>
      <c r="DLZ22" s="582"/>
      <c r="DMA22" s="582"/>
      <c r="DMB22" s="582"/>
      <c r="DMC22" s="582"/>
      <c r="DMD22" s="582"/>
      <c r="DME22" s="582"/>
      <c r="DMF22" s="582"/>
      <c r="DMG22" s="582"/>
      <c r="DMH22" s="582"/>
      <c r="DMI22" s="582"/>
      <c r="DMJ22" s="582"/>
      <c r="DMK22" s="582"/>
      <c r="DML22" s="582"/>
      <c r="DMM22" s="582"/>
      <c r="DMN22" s="582"/>
      <c r="DMO22" s="582"/>
      <c r="DMP22" s="582"/>
      <c r="DMQ22" s="582"/>
      <c r="DMR22" s="582"/>
      <c r="DMS22" s="582"/>
      <c r="DMT22" s="582"/>
      <c r="DMU22" s="582"/>
      <c r="DMV22" s="582"/>
      <c r="DMW22" s="582"/>
      <c r="DMX22" s="582"/>
      <c r="DMY22" s="582"/>
      <c r="DMZ22" s="582"/>
      <c r="DNA22" s="582"/>
      <c r="DNB22" s="582"/>
      <c r="DNC22" s="582"/>
      <c r="DND22" s="582"/>
      <c r="DNE22" s="582"/>
      <c r="DNF22" s="582"/>
      <c r="DNG22" s="582"/>
      <c r="DNH22" s="582"/>
      <c r="DNI22" s="582"/>
      <c r="DNJ22" s="582"/>
      <c r="DNK22" s="582"/>
      <c r="DNL22" s="582"/>
      <c r="DNM22" s="582"/>
      <c r="DNN22" s="582"/>
      <c r="DNO22" s="582"/>
      <c r="DNP22" s="582"/>
      <c r="DNQ22" s="582"/>
      <c r="DNR22" s="582"/>
      <c r="DNS22" s="582"/>
      <c r="DNT22" s="582"/>
      <c r="DNU22" s="582"/>
      <c r="DNV22" s="582"/>
      <c r="DNW22" s="582"/>
      <c r="DNX22" s="582"/>
      <c r="DNY22" s="582"/>
      <c r="DNZ22" s="582"/>
      <c r="DOA22" s="582"/>
      <c r="DOB22" s="582"/>
      <c r="DOC22" s="582"/>
      <c r="DOD22" s="582"/>
      <c r="DOE22" s="582"/>
      <c r="DOF22" s="582"/>
      <c r="DOG22" s="582"/>
      <c r="DOH22" s="582"/>
      <c r="DOI22" s="582"/>
      <c r="DOJ22" s="582"/>
      <c r="DOK22" s="582"/>
      <c r="DOL22" s="582"/>
      <c r="DOM22" s="582"/>
      <c r="DON22" s="582"/>
      <c r="DOO22" s="582"/>
      <c r="DOP22" s="582"/>
      <c r="DOQ22" s="582"/>
      <c r="DOR22" s="582"/>
      <c r="DOS22" s="582"/>
      <c r="DOT22" s="582"/>
      <c r="DOU22" s="582"/>
      <c r="DOV22" s="582"/>
      <c r="DOW22" s="582"/>
      <c r="DOX22" s="582"/>
      <c r="DOY22" s="582"/>
      <c r="DOZ22" s="582"/>
      <c r="DPA22" s="582"/>
      <c r="DPB22" s="582"/>
      <c r="DPC22" s="582"/>
      <c r="DPD22" s="582"/>
      <c r="DPE22" s="582"/>
      <c r="DPF22" s="582"/>
      <c r="DPG22" s="582"/>
      <c r="DPH22" s="582"/>
      <c r="DPI22" s="582"/>
      <c r="DPJ22" s="582"/>
      <c r="DPK22" s="582"/>
      <c r="DPL22" s="582"/>
      <c r="DPM22" s="582"/>
      <c r="DPN22" s="582"/>
      <c r="DPO22" s="582"/>
      <c r="DPP22" s="582"/>
      <c r="DPQ22" s="582"/>
      <c r="DPR22" s="582"/>
      <c r="DPS22" s="582"/>
      <c r="DPT22" s="582"/>
      <c r="DPU22" s="582"/>
      <c r="DPV22" s="582"/>
      <c r="DPW22" s="582"/>
      <c r="DPX22" s="582"/>
      <c r="DPY22" s="582"/>
      <c r="DPZ22" s="582"/>
      <c r="DQA22" s="582"/>
      <c r="DQB22" s="582"/>
      <c r="DQC22" s="582"/>
      <c r="DQD22" s="582"/>
      <c r="DQE22" s="582"/>
      <c r="DQF22" s="582"/>
      <c r="DQG22" s="582"/>
      <c r="DQH22" s="582"/>
      <c r="DQI22" s="582"/>
      <c r="DQJ22" s="582"/>
      <c r="DQK22" s="582"/>
      <c r="DQL22" s="582"/>
      <c r="DQM22" s="582"/>
      <c r="DQN22" s="582"/>
      <c r="DQO22" s="582"/>
      <c r="DQP22" s="582"/>
      <c r="DQQ22" s="582"/>
      <c r="DQR22" s="582"/>
      <c r="DQS22" s="582"/>
      <c r="DQT22" s="582"/>
      <c r="DQU22" s="582"/>
      <c r="DQV22" s="582"/>
      <c r="DQW22" s="582"/>
      <c r="DQX22" s="582"/>
      <c r="DQY22" s="582"/>
      <c r="DQZ22" s="582"/>
      <c r="DRA22" s="582"/>
      <c r="DRB22" s="582"/>
      <c r="DRC22" s="582"/>
      <c r="DRD22" s="582"/>
      <c r="DRE22" s="582"/>
      <c r="DRF22" s="582"/>
      <c r="DRG22" s="582"/>
      <c r="DRH22" s="582"/>
      <c r="DRI22" s="582"/>
      <c r="DRJ22" s="582"/>
      <c r="DRK22" s="582"/>
      <c r="DRL22" s="582"/>
      <c r="DRM22" s="582"/>
      <c r="DRN22" s="582"/>
      <c r="DRO22" s="582"/>
      <c r="DRP22" s="582"/>
      <c r="DRQ22" s="582"/>
      <c r="DRR22" s="582"/>
      <c r="DRS22" s="582"/>
      <c r="DRT22" s="582"/>
      <c r="DRU22" s="582"/>
      <c r="DRV22" s="582"/>
      <c r="DRW22" s="582"/>
      <c r="DRX22" s="582"/>
      <c r="DRY22" s="582"/>
      <c r="DRZ22" s="582"/>
      <c r="DSA22" s="582"/>
      <c r="DSB22" s="582"/>
      <c r="DSC22" s="582"/>
      <c r="DSD22" s="582"/>
      <c r="DSE22" s="582"/>
      <c r="DSF22" s="582"/>
      <c r="DSG22" s="582"/>
      <c r="DSH22" s="582"/>
      <c r="DSI22" s="582"/>
      <c r="DSJ22" s="582"/>
      <c r="DSK22" s="582"/>
      <c r="DSL22" s="582"/>
      <c r="DSM22" s="582"/>
      <c r="DSN22" s="582"/>
      <c r="DSO22" s="582"/>
      <c r="DSP22" s="582"/>
      <c r="DSQ22" s="582"/>
      <c r="DSR22" s="582"/>
      <c r="DSS22" s="582"/>
      <c r="DST22" s="582"/>
      <c r="DSU22" s="582"/>
      <c r="DSV22" s="582"/>
      <c r="DSW22" s="582"/>
      <c r="DSX22" s="582"/>
      <c r="DSY22" s="582"/>
      <c r="DSZ22" s="582"/>
      <c r="DTA22" s="582"/>
      <c r="DTB22" s="582"/>
      <c r="DTC22" s="582"/>
      <c r="DTD22" s="582"/>
      <c r="DTE22" s="582"/>
      <c r="DTF22" s="582"/>
      <c r="DTG22" s="582"/>
      <c r="DTH22" s="582"/>
      <c r="DTI22" s="582"/>
      <c r="DTJ22" s="582"/>
      <c r="DTK22" s="582"/>
      <c r="DTL22" s="582"/>
      <c r="DTM22" s="582"/>
      <c r="DTN22" s="582"/>
      <c r="DTO22" s="582"/>
      <c r="DTP22" s="582"/>
      <c r="DTQ22" s="582"/>
      <c r="DTR22" s="582"/>
      <c r="DTS22" s="582"/>
      <c r="DTT22" s="582"/>
      <c r="DTU22" s="582"/>
      <c r="DTV22" s="582"/>
      <c r="DTW22" s="582"/>
      <c r="DTX22" s="582"/>
      <c r="DTY22" s="582"/>
      <c r="DTZ22" s="582"/>
      <c r="DUA22" s="582"/>
      <c r="DUB22" s="582"/>
      <c r="DUC22" s="582"/>
      <c r="DUD22" s="582"/>
      <c r="DUE22" s="582"/>
      <c r="DUF22" s="582"/>
      <c r="DUG22" s="582"/>
      <c r="DUH22" s="582"/>
      <c r="DUI22" s="582"/>
      <c r="DUJ22" s="582"/>
      <c r="DUK22" s="582"/>
      <c r="DUL22" s="582"/>
      <c r="DUM22" s="582"/>
      <c r="DUN22" s="582"/>
      <c r="DUO22" s="582"/>
      <c r="DUP22" s="582"/>
      <c r="DUQ22" s="582"/>
      <c r="DUR22" s="582"/>
      <c r="DUS22" s="582"/>
      <c r="DUT22" s="582"/>
      <c r="DUU22" s="582"/>
      <c r="DUV22" s="582"/>
      <c r="DUW22" s="582"/>
      <c r="DUX22" s="582"/>
      <c r="DUY22" s="582"/>
      <c r="DUZ22" s="582"/>
      <c r="DVA22" s="582"/>
      <c r="DVB22" s="582"/>
      <c r="DVC22" s="582"/>
      <c r="DVD22" s="582"/>
      <c r="DVE22" s="582"/>
      <c r="DVF22" s="582"/>
      <c r="DVG22" s="582"/>
      <c r="DVH22" s="582"/>
      <c r="DVI22" s="582"/>
      <c r="DVJ22" s="582"/>
      <c r="DVK22" s="582"/>
      <c r="DVL22" s="582"/>
      <c r="DVM22" s="582"/>
      <c r="DVN22" s="582"/>
      <c r="DVO22" s="582"/>
      <c r="DVP22" s="582"/>
      <c r="DVQ22" s="582"/>
      <c r="DVR22" s="582"/>
      <c r="DVS22" s="582"/>
      <c r="DVT22" s="582"/>
      <c r="DVU22" s="582"/>
      <c r="DVV22" s="582"/>
      <c r="DVW22" s="582"/>
      <c r="DVX22" s="582"/>
      <c r="DVY22" s="582"/>
      <c r="DVZ22" s="582"/>
      <c r="DWA22" s="582"/>
      <c r="DWB22" s="582"/>
      <c r="DWC22" s="582"/>
      <c r="DWD22" s="582"/>
      <c r="DWE22" s="582"/>
      <c r="DWF22" s="582"/>
      <c r="DWG22" s="582"/>
      <c r="DWH22" s="582"/>
      <c r="DWI22" s="582"/>
      <c r="DWJ22" s="582"/>
      <c r="DWK22" s="582"/>
      <c r="DWL22" s="582"/>
      <c r="DWM22" s="582"/>
      <c r="DWN22" s="582"/>
      <c r="DWO22" s="582"/>
      <c r="DWP22" s="582"/>
      <c r="DWQ22" s="582"/>
      <c r="DWR22" s="582"/>
      <c r="DWS22" s="582"/>
      <c r="DWT22" s="582"/>
      <c r="DWU22" s="582"/>
      <c r="DWV22" s="582"/>
      <c r="DWW22" s="582"/>
      <c r="DWX22" s="582"/>
      <c r="DWY22" s="582"/>
      <c r="DWZ22" s="582"/>
      <c r="DXA22" s="582"/>
      <c r="DXB22" s="582"/>
      <c r="DXC22" s="582"/>
      <c r="DXD22" s="582"/>
      <c r="DXE22" s="582"/>
      <c r="DXF22" s="582"/>
      <c r="DXG22" s="582"/>
      <c r="DXH22" s="582"/>
      <c r="DXI22" s="582"/>
      <c r="DXJ22" s="582"/>
      <c r="DXK22" s="582"/>
      <c r="DXL22" s="582"/>
      <c r="DXM22" s="582"/>
      <c r="DXN22" s="582"/>
      <c r="DXO22" s="582"/>
      <c r="DXP22" s="582"/>
      <c r="DXQ22" s="582"/>
      <c r="DXR22" s="582"/>
      <c r="DXS22" s="582"/>
      <c r="DXT22" s="582"/>
      <c r="DXU22" s="582"/>
      <c r="DXV22" s="582"/>
      <c r="DXW22" s="582"/>
      <c r="DXX22" s="582"/>
      <c r="DXY22" s="582"/>
      <c r="DXZ22" s="582"/>
      <c r="DYA22" s="582"/>
      <c r="DYB22" s="582"/>
      <c r="DYC22" s="582"/>
      <c r="DYD22" s="582"/>
      <c r="DYE22" s="582"/>
      <c r="DYF22" s="582"/>
      <c r="DYG22" s="582"/>
      <c r="DYH22" s="582"/>
      <c r="DYI22" s="582"/>
      <c r="DYJ22" s="582"/>
      <c r="DYK22" s="582"/>
      <c r="DYL22" s="582"/>
      <c r="DYM22" s="582"/>
      <c r="DYN22" s="582"/>
      <c r="DYO22" s="582"/>
      <c r="DYP22" s="582"/>
      <c r="DYQ22" s="582"/>
      <c r="DYR22" s="582"/>
      <c r="DYS22" s="582"/>
      <c r="DYT22" s="582"/>
      <c r="DYU22" s="582"/>
      <c r="DYV22" s="582"/>
      <c r="DYW22" s="582"/>
      <c r="DYX22" s="582"/>
      <c r="DYY22" s="582"/>
      <c r="DYZ22" s="582"/>
      <c r="DZA22" s="582"/>
      <c r="DZB22" s="582"/>
      <c r="DZC22" s="582"/>
      <c r="DZD22" s="582"/>
      <c r="DZE22" s="582"/>
      <c r="DZF22" s="582"/>
      <c r="DZG22" s="582"/>
      <c r="DZH22" s="582"/>
      <c r="DZI22" s="582"/>
      <c r="DZJ22" s="582"/>
      <c r="DZK22" s="582"/>
      <c r="DZL22" s="582"/>
      <c r="DZM22" s="582"/>
      <c r="DZN22" s="582"/>
      <c r="DZO22" s="582"/>
      <c r="DZP22" s="582"/>
      <c r="DZQ22" s="582"/>
      <c r="DZR22" s="582"/>
      <c r="DZS22" s="582"/>
      <c r="DZT22" s="582"/>
      <c r="DZU22" s="582"/>
      <c r="DZV22" s="582"/>
      <c r="DZW22" s="582"/>
      <c r="DZX22" s="582"/>
      <c r="DZY22" s="582"/>
      <c r="DZZ22" s="582"/>
      <c r="EAA22" s="582"/>
      <c r="EAB22" s="582"/>
      <c r="EAC22" s="582"/>
      <c r="EAD22" s="582"/>
      <c r="EAE22" s="582"/>
      <c r="EAF22" s="582"/>
      <c r="EAG22" s="582"/>
      <c r="EAH22" s="582"/>
      <c r="EAI22" s="582"/>
      <c r="EAJ22" s="582"/>
      <c r="EAK22" s="582"/>
      <c r="EAL22" s="582"/>
      <c r="EAM22" s="582"/>
      <c r="EAN22" s="582"/>
      <c r="EAO22" s="582"/>
      <c r="EAP22" s="582"/>
      <c r="EAQ22" s="582"/>
      <c r="EAR22" s="582"/>
      <c r="EAS22" s="582"/>
      <c r="EAT22" s="582"/>
      <c r="EAU22" s="582"/>
      <c r="EAV22" s="582"/>
      <c r="EAW22" s="582"/>
      <c r="EAX22" s="582"/>
      <c r="EAY22" s="582"/>
      <c r="EAZ22" s="582"/>
      <c r="EBA22" s="582"/>
      <c r="EBB22" s="582"/>
      <c r="EBC22" s="582"/>
      <c r="EBD22" s="582"/>
      <c r="EBE22" s="582"/>
      <c r="EBF22" s="582"/>
      <c r="EBG22" s="582"/>
      <c r="EBH22" s="582"/>
      <c r="EBI22" s="582"/>
      <c r="EBJ22" s="582"/>
      <c r="EBK22" s="582"/>
      <c r="EBL22" s="582"/>
      <c r="EBM22" s="582"/>
      <c r="EBN22" s="582"/>
      <c r="EBO22" s="582"/>
      <c r="EBP22" s="582"/>
      <c r="EBQ22" s="582"/>
      <c r="EBR22" s="582"/>
      <c r="EBS22" s="582"/>
      <c r="EBT22" s="582"/>
      <c r="EBU22" s="582"/>
      <c r="EBV22" s="582"/>
      <c r="EBW22" s="582"/>
      <c r="EBX22" s="582"/>
      <c r="EBY22" s="582"/>
      <c r="EBZ22" s="582"/>
      <c r="ECA22" s="582"/>
      <c r="ECB22" s="582"/>
      <c r="ECC22" s="582"/>
      <c r="ECD22" s="582"/>
      <c r="ECE22" s="582"/>
      <c r="ECF22" s="582"/>
      <c r="ECG22" s="582"/>
      <c r="ECH22" s="582"/>
      <c r="ECI22" s="582"/>
      <c r="ECJ22" s="582"/>
      <c r="ECK22" s="582"/>
      <c r="ECL22" s="582"/>
      <c r="ECM22" s="582"/>
      <c r="ECN22" s="582"/>
      <c r="ECO22" s="582"/>
      <c r="ECP22" s="582"/>
      <c r="ECQ22" s="582"/>
      <c r="ECR22" s="582"/>
      <c r="ECS22" s="582"/>
      <c r="ECT22" s="582"/>
      <c r="ECU22" s="582"/>
      <c r="ECV22" s="582"/>
      <c r="ECW22" s="582"/>
      <c r="ECX22" s="582"/>
      <c r="ECY22" s="582"/>
      <c r="ECZ22" s="582"/>
      <c r="EDA22" s="582"/>
      <c r="EDB22" s="582"/>
      <c r="EDC22" s="582"/>
      <c r="EDD22" s="582"/>
      <c r="EDE22" s="582"/>
      <c r="EDF22" s="582"/>
      <c r="EDG22" s="582"/>
      <c r="EDH22" s="582"/>
      <c r="EDI22" s="582"/>
      <c r="EDJ22" s="582"/>
      <c r="EDK22" s="582"/>
      <c r="EDL22" s="582"/>
      <c r="EDM22" s="582"/>
      <c r="EDN22" s="582"/>
      <c r="EDO22" s="582"/>
      <c r="EDP22" s="582"/>
      <c r="EDQ22" s="582"/>
      <c r="EDR22" s="582"/>
      <c r="EDS22" s="582"/>
      <c r="EDT22" s="582"/>
      <c r="EDU22" s="582"/>
      <c r="EDV22" s="582"/>
      <c r="EDW22" s="582"/>
      <c r="EDX22" s="582"/>
      <c r="EDY22" s="582"/>
      <c r="EDZ22" s="582"/>
      <c r="EEA22" s="582"/>
      <c r="EEB22" s="582"/>
      <c r="EEC22" s="582"/>
      <c r="EED22" s="582"/>
      <c r="EEE22" s="582"/>
      <c r="EEF22" s="582"/>
      <c r="EEG22" s="582"/>
      <c r="EEH22" s="582"/>
      <c r="EEI22" s="582"/>
      <c r="EEJ22" s="582"/>
      <c r="EEK22" s="582"/>
      <c r="EEL22" s="582"/>
      <c r="EEM22" s="582"/>
      <c r="EEN22" s="582"/>
      <c r="EEO22" s="582"/>
      <c r="EEP22" s="582"/>
      <c r="EEQ22" s="582"/>
      <c r="EER22" s="582"/>
      <c r="EES22" s="582"/>
      <c r="EET22" s="582"/>
      <c r="EEU22" s="582"/>
      <c r="EEV22" s="582"/>
      <c r="EEW22" s="582"/>
      <c r="EEX22" s="582"/>
      <c r="EEY22" s="582"/>
      <c r="EEZ22" s="582"/>
      <c r="EFA22" s="582"/>
      <c r="EFB22" s="582"/>
      <c r="EFC22" s="582"/>
      <c r="EFD22" s="582"/>
      <c r="EFE22" s="582"/>
      <c r="EFF22" s="582"/>
      <c r="EFG22" s="582"/>
      <c r="EFH22" s="582"/>
      <c r="EFI22" s="582"/>
      <c r="EFJ22" s="582"/>
      <c r="EFK22" s="582"/>
      <c r="EFL22" s="582"/>
      <c r="EFM22" s="582"/>
      <c r="EFN22" s="582"/>
      <c r="EFO22" s="582"/>
      <c r="EFP22" s="582"/>
      <c r="EFQ22" s="582"/>
      <c r="EFR22" s="582"/>
      <c r="EFS22" s="582"/>
      <c r="EFT22" s="582"/>
      <c r="EFU22" s="582"/>
      <c r="EFV22" s="582"/>
      <c r="EFW22" s="582"/>
      <c r="EFX22" s="582"/>
      <c r="EFY22" s="582"/>
      <c r="EFZ22" s="582"/>
      <c r="EGA22" s="582"/>
      <c r="EGB22" s="582"/>
      <c r="EGC22" s="582"/>
      <c r="EGD22" s="582"/>
      <c r="EGE22" s="582"/>
      <c r="EGF22" s="582"/>
      <c r="EGG22" s="582"/>
      <c r="EGH22" s="582"/>
      <c r="EGI22" s="582"/>
      <c r="EGJ22" s="582"/>
      <c r="EGK22" s="582"/>
      <c r="EGL22" s="582"/>
      <c r="EGM22" s="582"/>
      <c r="EGN22" s="582"/>
      <c r="EGO22" s="582"/>
      <c r="EGP22" s="582"/>
      <c r="EGQ22" s="582"/>
      <c r="EGR22" s="582"/>
      <c r="EGS22" s="582"/>
      <c r="EGT22" s="582"/>
      <c r="EGU22" s="582"/>
      <c r="EGV22" s="582"/>
      <c r="EGW22" s="582"/>
      <c r="EGX22" s="582"/>
      <c r="EGY22" s="582"/>
      <c r="EGZ22" s="582"/>
      <c r="EHA22" s="582"/>
      <c r="EHB22" s="582"/>
      <c r="EHC22" s="582"/>
      <c r="EHD22" s="582"/>
      <c r="EHE22" s="582"/>
      <c r="EHF22" s="582"/>
      <c r="EHG22" s="582"/>
      <c r="EHH22" s="582"/>
      <c r="EHI22" s="582"/>
      <c r="EHJ22" s="582"/>
      <c r="EHK22" s="582"/>
      <c r="EHL22" s="582"/>
      <c r="EHM22" s="582"/>
      <c r="EHN22" s="582"/>
      <c r="EHO22" s="582"/>
      <c r="EHP22" s="582"/>
      <c r="EHQ22" s="582"/>
      <c r="EHR22" s="582"/>
      <c r="EHS22" s="582"/>
      <c r="EHT22" s="582"/>
      <c r="EHU22" s="582"/>
      <c r="EHV22" s="582"/>
      <c r="EHW22" s="582"/>
      <c r="EHX22" s="582"/>
      <c r="EHY22" s="582"/>
      <c r="EHZ22" s="582"/>
      <c r="EIA22" s="582"/>
      <c r="EIB22" s="582"/>
      <c r="EIC22" s="582"/>
      <c r="EID22" s="582"/>
      <c r="EIE22" s="582"/>
      <c r="EIF22" s="582"/>
      <c r="EIG22" s="582"/>
      <c r="EIH22" s="582"/>
      <c r="EII22" s="582"/>
      <c r="EIJ22" s="582"/>
      <c r="EIK22" s="582"/>
      <c r="EIL22" s="582"/>
      <c r="EIM22" s="582"/>
      <c r="EIN22" s="582"/>
      <c r="EIO22" s="582"/>
      <c r="EIP22" s="582"/>
      <c r="EIQ22" s="582"/>
      <c r="EIR22" s="582"/>
      <c r="EIS22" s="582"/>
      <c r="EIT22" s="582"/>
      <c r="EIU22" s="582"/>
      <c r="EIV22" s="582"/>
      <c r="EIW22" s="582"/>
      <c r="EIX22" s="582"/>
      <c r="EIY22" s="582"/>
      <c r="EIZ22" s="582"/>
      <c r="EJA22" s="582"/>
      <c r="EJB22" s="582"/>
      <c r="EJC22" s="582"/>
      <c r="EJD22" s="582"/>
      <c r="EJE22" s="582"/>
      <c r="EJF22" s="582"/>
      <c r="EJG22" s="582"/>
      <c r="EJH22" s="582"/>
      <c r="EJI22" s="582"/>
      <c r="EJJ22" s="582"/>
      <c r="EJK22" s="582"/>
      <c r="EJL22" s="582"/>
      <c r="EJM22" s="582"/>
      <c r="EJN22" s="582"/>
      <c r="EJO22" s="582"/>
      <c r="EJP22" s="582"/>
      <c r="EJQ22" s="582"/>
      <c r="EJR22" s="582"/>
      <c r="EJS22" s="582"/>
      <c r="EJT22" s="582"/>
      <c r="EJU22" s="582"/>
      <c r="EJV22" s="582"/>
      <c r="EJW22" s="582"/>
      <c r="EJX22" s="582"/>
      <c r="EJY22" s="582"/>
      <c r="EJZ22" s="582"/>
      <c r="EKA22" s="582"/>
      <c r="EKB22" s="582"/>
      <c r="EKC22" s="582"/>
      <c r="EKD22" s="582"/>
      <c r="EKE22" s="582"/>
      <c r="EKF22" s="582"/>
      <c r="EKG22" s="582"/>
      <c r="EKH22" s="582"/>
      <c r="EKI22" s="582"/>
      <c r="EKJ22" s="582"/>
      <c r="EKK22" s="582"/>
      <c r="EKL22" s="582"/>
      <c r="EKM22" s="582"/>
      <c r="EKN22" s="582"/>
      <c r="EKO22" s="582"/>
      <c r="EKP22" s="582"/>
      <c r="EKQ22" s="582"/>
      <c r="EKR22" s="582"/>
      <c r="EKS22" s="582"/>
      <c r="EKT22" s="582"/>
      <c r="EKU22" s="582"/>
      <c r="EKV22" s="582"/>
      <c r="EKW22" s="582"/>
      <c r="EKX22" s="582"/>
      <c r="EKY22" s="582"/>
      <c r="EKZ22" s="582"/>
      <c r="ELA22" s="582"/>
      <c r="ELB22" s="582"/>
      <c r="ELC22" s="582"/>
      <c r="ELD22" s="582"/>
      <c r="ELE22" s="582"/>
      <c r="ELF22" s="582"/>
      <c r="ELG22" s="582"/>
      <c r="ELH22" s="582"/>
      <c r="ELI22" s="582"/>
      <c r="ELJ22" s="582"/>
      <c r="ELK22" s="582"/>
      <c r="ELL22" s="582"/>
      <c r="ELM22" s="582"/>
      <c r="ELN22" s="582"/>
      <c r="ELO22" s="582"/>
      <c r="ELP22" s="582"/>
      <c r="ELQ22" s="582"/>
      <c r="ELR22" s="582"/>
      <c r="ELS22" s="582"/>
      <c r="ELT22" s="582"/>
      <c r="ELU22" s="582"/>
      <c r="ELV22" s="582"/>
      <c r="ELW22" s="582"/>
      <c r="ELX22" s="582"/>
      <c r="ELY22" s="582"/>
      <c r="ELZ22" s="582"/>
      <c r="EMA22" s="582"/>
      <c r="EMB22" s="582"/>
      <c r="EMC22" s="582"/>
      <c r="EMD22" s="582"/>
      <c r="EME22" s="582"/>
      <c r="EMF22" s="582"/>
      <c r="EMG22" s="582"/>
      <c r="EMH22" s="582"/>
      <c r="EMI22" s="582"/>
      <c r="EMJ22" s="582"/>
      <c r="EMK22" s="582"/>
      <c r="EML22" s="582"/>
      <c r="EMM22" s="582"/>
      <c r="EMN22" s="582"/>
      <c r="EMO22" s="582"/>
      <c r="EMP22" s="582"/>
      <c r="EMQ22" s="582"/>
      <c r="EMR22" s="582"/>
      <c r="EMS22" s="582"/>
      <c r="EMT22" s="582"/>
      <c r="EMU22" s="582"/>
      <c r="EMV22" s="582"/>
      <c r="EMW22" s="582"/>
      <c r="EMX22" s="582"/>
      <c r="EMY22" s="582"/>
      <c r="EMZ22" s="582"/>
      <c r="ENA22" s="582"/>
      <c r="ENB22" s="582"/>
      <c r="ENC22" s="582"/>
      <c r="END22" s="582"/>
      <c r="ENE22" s="582"/>
      <c r="ENF22" s="582"/>
      <c r="ENG22" s="582"/>
      <c r="ENH22" s="582"/>
      <c r="ENI22" s="582"/>
      <c r="ENJ22" s="582"/>
      <c r="ENK22" s="582"/>
      <c r="ENL22" s="582"/>
      <c r="ENM22" s="582"/>
      <c r="ENN22" s="582"/>
      <c r="ENO22" s="582"/>
      <c r="ENP22" s="582"/>
      <c r="ENQ22" s="582"/>
      <c r="ENR22" s="582"/>
      <c r="ENS22" s="582"/>
      <c r="ENT22" s="582"/>
      <c r="ENU22" s="582"/>
      <c r="ENV22" s="582"/>
      <c r="ENW22" s="582"/>
      <c r="ENX22" s="582"/>
      <c r="ENY22" s="582"/>
      <c r="ENZ22" s="582"/>
      <c r="EOA22" s="582"/>
      <c r="EOB22" s="582"/>
      <c r="EOC22" s="582"/>
      <c r="EOD22" s="582"/>
      <c r="EOE22" s="582"/>
      <c r="EOF22" s="582"/>
      <c r="EOG22" s="582"/>
      <c r="EOH22" s="582"/>
      <c r="EOI22" s="582"/>
      <c r="EOJ22" s="582"/>
      <c r="EOK22" s="582"/>
      <c r="EOL22" s="582"/>
      <c r="EOM22" s="582"/>
      <c r="EON22" s="582"/>
      <c r="EOO22" s="582"/>
      <c r="EOP22" s="582"/>
      <c r="EOQ22" s="582"/>
      <c r="EOR22" s="582"/>
      <c r="EOS22" s="582"/>
      <c r="EOT22" s="582"/>
      <c r="EOU22" s="582"/>
      <c r="EOV22" s="582"/>
      <c r="EOW22" s="582"/>
      <c r="EOX22" s="582"/>
      <c r="EOY22" s="582"/>
      <c r="EOZ22" s="582"/>
      <c r="EPA22" s="582"/>
      <c r="EPB22" s="582"/>
      <c r="EPC22" s="582"/>
      <c r="EPD22" s="582"/>
      <c r="EPE22" s="582"/>
      <c r="EPF22" s="582"/>
      <c r="EPG22" s="582"/>
      <c r="EPH22" s="582"/>
      <c r="EPI22" s="582"/>
      <c r="EPJ22" s="582"/>
      <c r="EPK22" s="582"/>
      <c r="EPL22" s="582"/>
      <c r="EPM22" s="582"/>
      <c r="EPN22" s="582"/>
      <c r="EPO22" s="582"/>
      <c r="EPP22" s="582"/>
      <c r="EPQ22" s="582"/>
      <c r="EPR22" s="582"/>
      <c r="EPS22" s="582"/>
      <c r="EPT22" s="582"/>
      <c r="EPU22" s="582"/>
      <c r="EPV22" s="582"/>
      <c r="EPW22" s="582"/>
      <c r="EPX22" s="582"/>
      <c r="EPY22" s="582"/>
      <c r="EPZ22" s="582"/>
      <c r="EQA22" s="582"/>
      <c r="EQB22" s="582"/>
      <c r="EQC22" s="582"/>
      <c r="EQD22" s="582"/>
      <c r="EQE22" s="582"/>
      <c r="EQF22" s="582"/>
      <c r="EQG22" s="582"/>
      <c r="EQH22" s="582"/>
      <c r="EQI22" s="582"/>
      <c r="EQJ22" s="582"/>
      <c r="EQK22" s="582"/>
      <c r="EQL22" s="582"/>
      <c r="EQM22" s="582"/>
      <c r="EQN22" s="582"/>
      <c r="EQO22" s="582"/>
      <c r="EQP22" s="582"/>
      <c r="EQQ22" s="582"/>
      <c r="EQR22" s="582"/>
      <c r="EQS22" s="582"/>
      <c r="EQT22" s="582"/>
      <c r="EQU22" s="582"/>
      <c r="EQV22" s="582"/>
      <c r="EQW22" s="582"/>
      <c r="EQX22" s="582"/>
      <c r="EQY22" s="582"/>
      <c r="EQZ22" s="582"/>
      <c r="ERA22" s="582"/>
      <c r="ERB22" s="582"/>
      <c r="ERC22" s="582"/>
      <c r="ERD22" s="582"/>
      <c r="ERE22" s="582"/>
      <c r="ERF22" s="582"/>
      <c r="ERG22" s="582"/>
      <c r="ERH22" s="582"/>
      <c r="ERI22" s="582"/>
      <c r="ERJ22" s="582"/>
      <c r="ERK22" s="582"/>
      <c r="ERL22" s="582"/>
      <c r="ERM22" s="582"/>
      <c r="ERN22" s="582"/>
      <c r="ERO22" s="582"/>
      <c r="ERP22" s="582"/>
      <c r="ERQ22" s="582"/>
      <c r="ERR22" s="582"/>
      <c r="ERS22" s="582"/>
      <c r="ERT22" s="582"/>
      <c r="ERU22" s="582"/>
      <c r="ERV22" s="582"/>
      <c r="ERW22" s="582"/>
      <c r="ERX22" s="582"/>
      <c r="ERY22" s="582"/>
      <c r="ERZ22" s="582"/>
      <c r="ESA22" s="582"/>
      <c r="ESB22" s="582"/>
      <c r="ESC22" s="582"/>
      <c r="ESD22" s="582"/>
      <c r="ESE22" s="582"/>
      <c r="ESF22" s="582"/>
      <c r="ESG22" s="582"/>
      <c r="ESH22" s="582"/>
      <c r="ESI22" s="582"/>
      <c r="ESJ22" s="582"/>
      <c r="ESK22" s="582"/>
      <c r="ESL22" s="582"/>
      <c r="ESM22" s="582"/>
      <c r="ESN22" s="582"/>
      <c r="ESO22" s="582"/>
      <c r="ESP22" s="582"/>
      <c r="ESQ22" s="582"/>
      <c r="ESR22" s="582"/>
      <c r="ESS22" s="582"/>
      <c r="EST22" s="582"/>
      <c r="ESU22" s="582"/>
      <c r="ESV22" s="582"/>
      <c r="ESW22" s="582"/>
      <c r="ESX22" s="582"/>
      <c r="ESY22" s="582"/>
      <c r="ESZ22" s="582"/>
      <c r="ETA22" s="582"/>
      <c r="ETB22" s="582"/>
      <c r="ETC22" s="582"/>
      <c r="ETD22" s="582"/>
      <c r="ETE22" s="582"/>
      <c r="ETF22" s="582"/>
      <c r="ETG22" s="582"/>
      <c r="ETH22" s="582"/>
      <c r="ETI22" s="582"/>
      <c r="ETJ22" s="582"/>
      <c r="ETK22" s="582"/>
      <c r="ETL22" s="582"/>
      <c r="ETM22" s="582"/>
      <c r="ETN22" s="582"/>
      <c r="ETO22" s="582"/>
      <c r="ETP22" s="582"/>
      <c r="ETQ22" s="582"/>
      <c r="ETR22" s="582"/>
      <c r="ETS22" s="582"/>
      <c r="ETT22" s="582"/>
      <c r="ETU22" s="582"/>
      <c r="ETV22" s="582"/>
      <c r="ETW22" s="582"/>
      <c r="ETX22" s="582"/>
      <c r="ETY22" s="582"/>
      <c r="ETZ22" s="582"/>
      <c r="EUA22" s="582"/>
      <c r="EUB22" s="582"/>
      <c r="EUC22" s="582"/>
      <c r="EUD22" s="582"/>
      <c r="EUE22" s="582"/>
      <c r="EUF22" s="582"/>
      <c r="EUG22" s="582"/>
      <c r="EUH22" s="582"/>
      <c r="EUI22" s="582"/>
      <c r="EUJ22" s="582"/>
      <c r="EUK22" s="582"/>
      <c r="EUL22" s="582"/>
      <c r="EUM22" s="582"/>
      <c r="EUN22" s="582"/>
      <c r="EUO22" s="582"/>
      <c r="EUP22" s="582"/>
      <c r="EUQ22" s="582"/>
      <c r="EUR22" s="582"/>
      <c r="EUS22" s="582"/>
      <c r="EUT22" s="582"/>
      <c r="EUU22" s="582"/>
      <c r="EUV22" s="582"/>
      <c r="EUW22" s="582"/>
      <c r="EUX22" s="582"/>
      <c r="EUY22" s="582"/>
      <c r="EUZ22" s="582"/>
      <c r="EVA22" s="582"/>
      <c r="EVB22" s="582"/>
      <c r="EVC22" s="582"/>
      <c r="EVD22" s="582"/>
      <c r="EVE22" s="582"/>
      <c r="EVF22" s="582"/>
      <c r="EVG22" s="582"/>
      <c r="EVH22" s="582"/>
      <c r="EVI22" s="582"/>
      <c r="EVJ22" s="582"/>
      <c r="EVK22" s="582"/>
      <c r="EVL22" s="582"/>
      <c r="EVM22" s="582"/>
      <c r="EVN22" s="582"/>
      <c r="EVO22" s="582"/>
      <c r="EVP22" s="582"/>
      <c r="EVQ22" s="582"/>
      <c r="EVR22" s="582"/>
      <c r="EVS22" s="582"/>
      <c r="EVT22" s="582"/>
      <c r="EVU22" s="582"/>
      <c r="EVV22" s="582"/>
      <c r="EVW22" s="582"/>
      <c r="EVX22" s="582"/>
      <c r="EVY22" s="582"/>
      <c r="EVZ22" s="582"/>
      <c r="EWA22" s="582"/>
      <c r="EWB22" s="582"/>
      <c r="EWC22" s="582"/>
      <c r="EWD22" s="582"/>
      <c r="EWE22" s="582"/>
      <c r="EWF22" s="582"/>
      <c r="EWG22" s="582"/>
      <c r="EWH22" s="582"/>
      <c r="EWI22" s="582"/>
      <c r="EWJ22" s="582"/>
      <c r="EWK22" s="582"/>
      <c r="EWL22" s="582"/>
      <c r="EWM22" s="582"/>
      <c r="EWN22" s="582"/>
      <c r="EWO22" s="582"/>
      <c r="EWP22" s="582"/>
      <c r="EWQ22" s="582"/>
      <c r="EWR22" s="582"/>
      <c r="EWS22" s="582"/>
      <c r="EWT22" s="582"/>
      <c r="EWU22" s="582"/>
      <c r="EWV22" s="582"/>
      <c r="EWW22" s="582"/>
      <c r="EWX22" s="582"/>
      <c r="EWY22" s="582"/>
      <c r="EWZ22" s="582"/>
      <c r="EXA22" s="582"/>
      <c r="EXB22" s="582"/>
      <c r="EXC22" s="582"/>
      <c r="EXD22" s="582"/>
      <c r="EXE22" s="582"/>
      <c r="EXF22" s="582"/>
      <c r="EXG22" s="582"/>
      <c r="EXH22" s="582"/>
      <c r="EXI22" s="582"/>
      <c r="EXJ22" s="582"/>
      <c r="EXK22" s="582"/>
      <c r="EXL22" s="582"/>
      <c r="EXM22" s="582"/>
      <c r="EXN22" s="582"/>
      <c r="EXO22" s="582"/>
      <c r="EXP22" s="582"/>
      <c r="EXQ22" s="582"/>
      <c r="EXR22" s="582"/>
      <c r="EXS22" s="582"/>
      <c r="EXT22" s="582"/>
      <c r="EXU22" s="582"/>
      <c r="EXV22" s="582"/>
      <c r="EXW22" s="582"/>
      <c r="EXX22" s="582"/>
      <c r="EXY22" s="582"/>
      <c r="EXZ22" s="582"/>
      <c r="EYA22" s="582"/>
      <c r="EYB22" s="582"/>
      <c r="EYC22" s="582"/>
      <c r="EYD22" s="582"/>
      <c r="EYE22" s="582"/>
      <c r="EYF22" s="582"/>
      <c r="EYG22" s="582"/>
      <c r="EYH22" s="582"/>
      <c r="EYI22" s="582"/>
      <c r="EYJ22" s="582"/>
      <c r="EYK22" s="582"/>
      <c r="EYL22" s="582"/>
      <c r="EYM22" s="582"/>
      <c r="EYN22" s="582"/>
      <c r="EYO22" s="582"/>
      <c r="EYP22" s="582"/>
      <c r="EYQ22" s="582"/>
      <c r="EYR22" s="582"/>
      <c r="EYS22" s="582"/>
      <c r="EYT22" s="582"/>
      <c r="EYU22" s="582"/>
      <c r="EYV22" s="582"/>
      <c r="EYW22" s="582"/>
      <c r="EYX22" s="582"/>
      <c r="EYY22" s="582"/>
      <c r="EYZ22" s="582"/>
      <c r="EZA22" s="582"/>
      <c r="EZB22" s="582"/>
      <c r="EZC22" s="582"/>
      <c r="EZD22" s="582"/>
      <c r="EZE22" s="582"/>
      <c r="EZF22" s="582"/>
      <c r="EZG22" s="582"/>
      <c r="EZH22" s="582"/>
      <c r="EZI22" s="582"/>
      <c r="EZJ22" s="582"/>
      <c r="EZK22" s="582"/>
      <c r="EZL22" s="582"/>
      <c r="EZM22" s="582"/>
      <c r="EZN22" s="582"/>
      <c r="EZO22" s="582"/>
      <c r="EZP22" s="582"/>
      <c r="EZQ22" s="582"/>
      <c r="EZR22" s="582"/>
      <c r="EZS22" s="582"/>
      <c r="EZT22" s="582"/>
      <c r="EZU22" s="582"/>
      <c r="EZV22" s="582"/>
      <c r="EZW22" s="582"/>
      <c r="EZX22" s="582"/>
      <c r="EZY22" s="582"/>
      <c r="EZZ22" s="582"/>
      <c r="FAA22" s="582"/>
      <c r="FAB22" s="582"/>
      <c r="FAC22" s="582"/>
      <c r="FAD22" s="582"/>
      <c r="FAE22" s="582"/>
      <c r="FAF22" s="582"/>
      <c r="FAG22" s="582"/>
      <c r="FAH22" s="582"/>
      <c r="FAI22" s="582"/>
      <c r="FAJ22" s="582"/>
      <c r="FAK22" s="582"/>
      <c r="FAL22" s="582"/>
      <c r="FAM22" s="582"/>
      <c r="FAN22" s="582"/>
      <c r="FAO22" s="582"/>
      <c r="FAP22" s="582"/>
      <c r="FAQ22" s="582"/>
      <c r="FAR22" s="582"/>
      <c r="FAS22" s="582"/>
      <c r="FAT22" s="582"/>
      <c r="FAU22" s="582"/>
      <c r="FAV22" s="582"/>
      <c r="FAW22" s="582"/>
      <c r="FAX22" s="582"/>
      <c r="FAY22" s="582"/>
      <c r="FAZ22" s="582"/>
      <c r="FBA22" s="582"/>
      <c r="FBB22" s="582"/>
      <c r="FBC22" s="582"/>
      <c r="FBD22" s="582"/>
      <c r="FBE22" s="582"/>
      <c r="FBF22" s="582"/>
      <c r="FBG22" s="582"/>
      <c r="FBH22" s="582"/>
      <c r="FBI22" s="582"/>
      <c r="FBJ22" s="582"/>
      <c r="FBK22" s="582"/>
      <c r="FBL22" s="582"/>
      <c r="FBM22" s="582"/>
      <c r="FBN22" s="582"/>
      <c r="FBO22" s="582"/>
      <c r="FBP22" s="582"/>
      <c r="FBQ22" s="582"/>
      <c r="FBR22" s="582"/>
      <c r="FBS22" s="582"/>
      <c r="FBT22" s="582"/>
      <c r="FBU22" s="582"/>
      <c r="FBV22" s="582"/>
      <c r="FBW22" s="582"/>
      <c r="FBX22" s="582"/>
      <c r="FBY22" s="582"/>
      <c r="FBZ22" s="582"/>
      <c r="FCA22" s="582"/>
      <c r="FCB22" s="582"/>
      <c r="FCC22" s="582"/>
      <c r="FCD22" s="582"/>
      <c r="FCE22" s="582"/>
      <c r="FCF22" s="582"/>
      <c r="FCG22" s="582"/>
      <c r="FCH22" s="582"/>
      <c r="FCI22" s="582"/>
      <c r="FCJ22" s="582"/>
      <c r="FCK22" s="582"/>
      <c r="FCL22" s="582"/>
      <c r="FCM22" s="582"/>
      <c r="FCN22" s="582"/>
      <c r="FCO22" s="582"/>
      <c r="FCP22" s="582"/>
      <c r="FCQ22" s="582"/>
      <c r="FCR22" s="582"/>
      <c r="FCS22" s="582"/>
      <c r="FCT22" s="582"/>
      <c r="FCU22" s="582"/>
      <c r="FCV22" s="582"/>
      <c r="FCW22" s="582"/>
      <c r="FCX22" s="582"/>
      <c r="FCY22" s="582"/>
      <c r="FCZ22" s="582"/>
      <c r="FDA22" s="582"/>
      <c r="FDB22" s="582"/>
      <c r="FDC22" s="582"/>
      <c r="FDD22" s="582"/>
      <c r="FDE22" s="582"/>
      <c r="FDF22" s="582"/>
      <c r="FDG22" s="582"/>
      <c r="FDH22" s="582"/>
      <c r="FDI22" s="582"/>
      <c r="FDJ22" s="582"/>
      <c r="FDK22" s="582"/>
      <c r="FDL22" s="582"/>
      <c r="FDM22" s="582"/>
      <c r="FDN22" s="582"/>
      <c r="FDO22" s="582"/>
      <c r="FDP22" s="582"/>
      <c r="FDQ22" s="582"/>
      <c r="FDR22" s="582"/>
      <c r="FDS22" s="582"/>
      <c r="FDT22" s="582"/>
      <c r="FDU22" s="582"/>
      <c r="FDV22" s="582"/>
      <c r="FDW22" s="582"/>
      <c r="FDX22" s="582"/>
      <c r="FDY22" s="582"/>
      <c r="FDZ22" s="582"/>
      <c r="FEA22" s="582"/>
      <c r="FEB22" s="582"/>
      <c r="FEC22" s="582"/>
      <c r="FED22" s="582"/>
      <c r="FEE22" s="582"/>
      <c r="FEF22" s="582"/>
      <c r="FEG22" s="582"/>
      <c r="FEH22" s="582"/>
      <c r="FEI22" s="582"/>
      <c r="FEJ22" s="582"/>
      <c r="FEK22" s="582"/>
      <c r="FEL22" s="582"/>
      <c r="FEM22" s="582"/>
      <c r="FEN22" s="582"/>
      <c r="FEO22" s="582"/>
      <c r="FEP22" s="582"/>
      <c r="FEQ22" s="582"/>
      <c r="FER22" s="582"/>
      <c r="FES22" s="582"/>
      <c r="FET22" s="582"/>
      <c r="FEU22" s="582"/>
      <c r="FEV22" s="582"/>
      <c r="FEW22" s="582"/>
      <c r="FEX22" s="582"/>
      <c r="FEY22" s="582"/>
      <c r="FEZ22" s="582"/>
      <c r="FFA22" s="582"/>
      <c r="FFB22" s="582"/>
      <c r="FFC22" s="582"/>
      <c r="FFD22" s="582"/>
      <c r="FFE22" s="582"/>
      <c r="FFF22" s="582"/>
      <c r="FFG22" s="582"/>
      <c r="FFH22" s="582"/>
      <c r="FFI22" s="582"/>
      <c r="FFJ22" s="582"/>
      <c r="FFK22" s="582"/>
      <c r="FFL22" s="582"/>
      <c r="FFM22" s="582"/>
      <c r="FFN22" s="582"/>
      <c r="FFO22" s="582"/>
      <c r="FFP22" s="582"/>
      <c r="FFQ22" s="582"/>
      <c r="FFR22" s="582"/>
      <c r="FFS22" s="582"/>
      <c r="FFT22" s="582"/>
      <c r="FFU22" s="582"/>
      <c r="FFV22" s="582"/>
      <c r="FFW22" s="582"/>
      <c r="FFX22" s="582"/>
      <c r="FFY22" s="582"/>
      <c r="FFZ22" s="582"/>
      <c r="FGA22" s="582"/>
      <c r="FGB22" s="582"/>
      <c r="FGC22" s="582"/>
      <c r="FGD22" s="582"/>
      <c r="FGE22" s="582"/>
      <c r="FGF22" s="582"/>
      <c r="FGG22" s="582"/>
      <c r="FGH22" s="582"/>
      <c r="FGI22" s="582"/>
      <c r="FGJ22" s="582"/>
      <c r="FGK22" s="582"/>
      <c r="FGL22" s="582"/>
      <c r="FGM22" s="582"/>
      <c r="FGN22" s="582"/>
      <c r="FGO22" s="582"/>
      <c r="FGP22" s="582"/>
      <c r="FGQ22" s="582"/>
      <c r="FGR22" s="582"/>
      <c r="FGS22" s="582"/>
      <c r="FGT22" s="582"/>
      <c r="FGU22" s="582"/>
      <c r="FGV22" s="582"/>
      <c r="FGW22" s="582"/>
      <c r="FGX22" s="582"/>
      <c r="FGY22" s="582"/>
      <c r="FGZ22" s="582"/>
      <c r="FHA22" s="582"/>
      <c r="FHB22" s="582"/>
      <c r="FHC22" s="582"/>
      <c r="FHD22" s="582"/>
      <c r="FHE22" s="582"/>
      <c r="FHF22" s="582"/>
      <c r="FHG22" s="582"/>
      <c r="FHH22" s="582"/>
      <c r="FHI22" s="582"/>
      <c r="FHJ22" s="582"/>
      <c r="FHK22" s="582"/>
      <c r="FHL22" s="582"/>
      <c r="FHM22" s="582"/>
      <c r="FHN22" s="582"/>
      <c r="FHO22" s="582"/>
      <c r="FHP22" s="582"/>
      <c r="FHQ22" s="582"/>
      <c r="FHR22" s="582"/>
      <c r="FHS22" s="582"/>
      <c r="FHT22" s="582"/>
      <c r="FHU22" s="582"/>
      <c r="FHV22" s="582"/>
      <c r="FHW22" s="582"/>
      <c r="FHX22" s="582"/>
      <c r="FHY22" s="582"/>
      <c r="FHZ22" s="582"/>
      <c r="FIA22" s="582"/>
      <c r="FIB22" s="582"/>
      <c r="FIC22" s="582"/>
      <c r="FID22" s="582"/>
      <c r="FIE22" s="582"/>
      <c r="FIF22" s="582"/>
      <c r="FIG22" s="582"/>
      <c r="FIH22" s="582"/>
      <c r="FII22" s="582"/>
      <c r="FIJ22" s="582"/>
      <c r="FIK22" s="582"/>
      <c r="FIL22" s="582"/>
      <c r="FIM22" s="582"/>
      <c r="FIN22" s="582"/>
      <c r="FIO22" s="582"/>
      <c r="FIP22" s="582"/>
      <c r="FIQ22" s="582"/>
      <c r="FIR22" s="582"/>
      <c r="FIS22" s="582"/>
      <c r="FIT22" s="582"/>
      <c r="FIU22" s="582"/>
      <c r="FIV22" s="582"/>
      <c r="FIW22" s="582"/>
      <c r="FIX22" s="582"/>
      <c r="FIY22" s="582"/>
      <c r="FIZ22" s="582"/>
      <c r="FJA22" s="582"/>
      <c r="FJB22" s="582"/>
      <c r="FJC22" s="582"/>
      <c r="FJD22" s="582"/>
      <c r="FJE22" s="582"/>
      <c r="FJF22" s="582"/>
      <c r="FJG22" s="582"/>
      <c r="FJH22" s="582"/>
      <c r="FJI22" s="582"/>
      <c r="FJJ22" s="582"/>
      <c r="FJK22" s="582"/>
      <c r="FJL22" s="582"/>
      <c r="FJM22" s="582"/>
      <c r="FJN22" s="582"/>
      <c r="FJO22" s="582"/>
      <c r="FJP22" s="582"/>
      <c r="FJQ22" s="582"/>
      <c r="FJR22" s="582"/>
      <c r="FJS22" s="582"/>
      <c r="FJT22" s="582"/>
      <c r="FJU22" s="582"/>
      <c r="FJV22" s="582"/>
      <c r="FJW22" s="582"/>
      <c r="FJX22" s="582"/>
      <c r="FJY22" s="582"/>
      <c r="FJZ22" s="582"/>
      <c r="FKA22" s="582"/>
      <c r="FKB22" s="582"/>
      <c r="FKC22" s="582"/>
      <c r="FKD22" s="582"/>
      <c r="FKE22" s="582"/>
      <c r="FKF22" s="582"/>
      <c r="FKG22" s="582"/>
      <c r="FKH22" s="582"/>
      <c r="FKI22" s="582"/>
      <c r="FKJ22" s="582"/>
      <c r="FKK22" s="582"/>
      <c r="FKL22" s="582"/>
      <c r="FKM22" s="582"/>
      <c r="FKN22" s="582"/>
      <c r="FKO22" s="582"/>
      <c r="FKP22" s="582"/>
      <c r="FKQ22" s="582"/>
      <c r="FKR22" s="582"/>
      <c r="FKS22" s="582"/>
      <c r="FKT22" s="582"/>
      <c r="FKU22" s="582"/>
      <c r="FKV22" s="582"/>
      <c r="FKW22" s="582"/>
      <c r="FKX22" s="582"/>
      <c r="FKY22" s="582"/>
      <c r="FKZ22" s="582"/>
      <c r="FLA22" s="582"/>
      <c r="FLB22" s="582"/>
      <c r="FLC22" s="582"/>
      <c r="FLD22" s="582"/>
      <c r="FLE22" s="582"/>
      <c r="FLF22" s="582"/>
      <c r="FLG22" s="582"/>
      <c r="FLH22" s="582"/>
      <c r="FLI22" s="582"/>
      <c r="FLJ22" s="582"/>
      <c r="FLK22" s="582"/>
      <c r="FLL22" s="582"/>
      <c r="FLM22" s="582"/>
      <c r="FLN22" s="582"/>
      <c r="FLO22" s="582"/>
      <c r="FLP22" s="582"/>
      <c r="FLQ22" s="582"/>
      <c r="FLR22" s="582"/>
      <c r="FLS22" s="582"/>
      <c r="FLT22" s="582"/>
      <c r="FLU22" s="582"/>
      <c r="FLV22" s="582"/>
      <c r="FLW22" s="582"/>
      <c r="FLX22" s="582"/>
      <c r="FLY22" s="582"/>
      <c r="FLZ22" s="582"/>
      <c r="FMA22" s="582"/>
      <c r="FMB22" s="582"/>
      <c r="FMC22" s="582"/>
      <c r="FMD22" s="582"/>
      <c r="FME22" s="582"/>
      <c r="FMF22" s="582"/>
      <c r="FMG22" s="582"/>
      <c r="FMH22" s="582"/>
      <c r="FMI22" s="582"/>
      <c r="FMJ22" s="582"/>
      <c r="FMK22" s="582"/>
      <c r="FML22" s="582"/>
      <c r="FMM22" s="582"/>
      <c r="FMN22" s="582"/>
      <c r="FMO22" s="582"/>
      <c r="FMP22" s="582"/>
      <c r="FMQ22" s="582"/>
      <c r="FMR22" s="582"/>
      <c r="FMS22" s="582"/>
      <c r="FMT22" s="582"/>
      <c r="FMU22" s="582"/>
      <c r="FMV22" s="582"/>
      <c r="FMW22" s="582"/>
      <c r="FMX22" s="582"/>
      <c r="FMY22" s="582"/>
      <c r="FMZ22" s="582"/>
      <c r="FNA22" s="582"/>
      <c r="FNB22" s="582"/>
      <c r="FNC22" s="582"/>
      <c r="FND22" s="582"/>
      <c r="FNE22" s="582"/>
      <c r="FNF22" s="582"/>
      <c r="FNG22" s="582"/>
      <c r="FNH22" s="582"/>
      <c r="FNI22" s="582"/>
      <c r="FNJ22" s="582"/>
      <c r="FNK22" s="582"/>
      <c r="FNL22" s="582"/>
      <c r="FNM22" s="582"/>
      <c r="FNN22" s="582"/>
      <c r="FNO22" s="582"/>
      <c r="FNP22" s="582"/>
      <c r="FNQ22" s="582"/>
      <c r="FNR22" s="582"/>
      <c r="FNS22" s="582"/>
      <c r="FNT22" s="582"/>
      <c r="FNU22" s="582"/>
      <c r="FNV22" s="582"/>
      <c r="FNW22" s="582"/>
      <c r="FNX22" s="582"/>
      <c r="FNY22" s="582"/>
      <c r="FNZ22" s="582"/>
      <c r="FOA22" s="582"/>
      <c r="FOB22" s="582"/>
      <c r="FOC22" s="582"/>
      <c r="FOD22" s="582"/>
      <c r="FOE22" s="582"/>
      <c r="FOF22" s="582"/>
      <c r="FOG22" s="582"/>
      <c r="FOH22" s="582"/>
      <c r="FOI22" s="582"/>
      <c r="FOJ22" s="582"/>
      <c r="FOK22" s="582"/>
      <c r="FOL22" s="582"/>
      <c r="FOM22" s="582"/>
      <c r="FON22" s="582"/>
      <c r="FOO22" s="582"/>
      <c r="FOP22" s="582"/>
      <c r="FOQ22" s="582"/>
      <c r="FOR22" s="582"/>
      <c r="FOS22" s="582"/>
      <c r="FOT22" s="582"/>
      <c r="FOU22" s="582"/>
      <c r="FOV22" s="582"/>
      <c r="FOW22" s="582"/>
      <c r="FOX22" s="582"/>
      <c r="FOY22" s="582"/>
      <c r="FOZ22" s="582"/>
      <c r="FPA22" s="582"/>
      <c r="FPB22" s="582"/>
      <c r="FPC22" s="582"/>
      <c r="FPD22" s="582"/>
      <c r="FPE22" s="582"/>
      <c r="FPF22" s="582"/>
      <c r="FPG22" s="582"/>
      <c r="FPH22" s="582"/>
      <c r="FPI22" s="582"/>
      <c r="FPJ22" s="582"/>
      <c r="FPK22" s="582"/>
      <c r="FPL22" s="582"/>
      <c r="FPM22" s="582"/>
      <c r="FPN22" s="582"/>
      <c r="FPO22" s="582"/>
      <c r="FPP22" s="582"/>
      <c r="FPQ22" s="582"/>
      <c r="FPR22" s="582"/>
      <c r="FPS22" s="582"/>
      <c r="FPT22" s="582"/>
      <c r="FPU22" s="582"/>
      <c r="FPV22" s="582"/>
      <c r="FPW22" s="582"/>
      <c r="FPX22" s="582"/>
      <c r="FPY22" s="582"/>
      <c r="FPZ22" s="582"/>
      <c r="FQA22" s="582"/>
      <c r="FQB22" s="582"/>
      <c r="FQC22" s="582"/>
      <c r="FQD22" s="582"/>
      <c r="FQE22" s="582"/>
      <c r="FQF22" s="582"/>
      <c r="FQG22" s="582"/>
      <c r="FQH22" s="582"/>
      <c r="FQI22" s="582"/>
      <c r="FQJ22" s="582"/>
      <c r="FQK22" s="582"/>
      <c r="FQL22" s="582"/>
      <c r="FQM22" s="582"/>
      <c r="FQN22" s="582"/>
      <c r="FQO22" s="582"/>
      <c r="FQP22" s="582"/>
      <c r="FQQ22" s="582"/>
      <c r="FQR22" s="582"/>
      <c r="FQS22" s="582"/>
      <c r="FQT22" s="582"/>
      <c r="FQU22" s="582"/>
      <c r="FQV22" s="582"/>
      <c r="FQW22" s="582"/>
      <c r="FQX22" s="582"/>
      <c r="FQY22" s="582"/>
      <c r="FQZ22" s="582"/>
      <c r="FRA22" s="582"/>
      <c r="FRB22" s="582"/>
      <c r="FRC22" s="582"/>
      <c r="FRD22" s="582"/>
      <c r="FRE22" s="582"/>
      <c r="FRF22" s="582"/>
      <c r="FRG22" s="582"/>
      <c r="FRH22" s="582"/>
      <c r="FRI22" s="582"/>
      <c r="FRJ22" s="582"/>
      <c r="FRK22" s="582"/>
      <c r="FRL22" s="582"/>
      <c r="FRM22" s="582"/>
      <c r="FRN22" s="582"/>
      <c r="FRO22" s="582"/>
      <c r="FRP22" s="582"/>
      <c r="FRQ22" s="582"/>
      <c r="FRR22" s="582"/>
      <c r="FRS22" s="582"/>
      <c r="FRT22" s="582"/>
      <c r="FRU22" s="582"/>
      <c r="FRV22" s="582"/>
      <c r="FRW22" s="582"/>
      <c r="FRX22" s="582"/>
      <c r="FRY22" s="582"/>
      <c r="FRZ22" s="582"/>
      <c r="FSA22" s="582"/>
      <c r="FSB22" s="582"/>
      <c r="FSC22" s="582"/>
      <c r="FSD22" s="582"/>
      <c r="FSE22" s="582"/>
      <c r="FSF22" s="582"/>
      <c r="FSG22" s="582"/>
      <c r="FSH22" s="582"/>
      <c r="FSI22" s="582"/>
      <c r="FSJ22" s="582"/>
      <c r="FSK22" s="582"/>
      <c r="FSL22" s="582"/>
      <c r="FSM22" s="582"/>
      <c r="FSN22" s="582"/>
      <c r="FSO22" s="582"/>
      <c r="FSP22" s="582"/>
      <c r="FSQ22" s="582"/>
      <c r="FSR22" s="582"/>
      <c r="FSS22" s="582"/>
      <c r="FST22" s="582"/>
      <c r="FSU22" s="582"/>
      <c r="FSV22" s="582"/>
      <c r="FSW22" s="582"/>
      <c r="FSX22" s="582"/>
      <c r="FSY22" s="582"/>
      <c r="FSZ22" s="582"/>
      <c r="FTA22" s="582"/>
      <c r="FTB22" s="582"/>
      <c r="FTC22" s="582"/>
      <c r="FTD22" s="582"/>
      <c r="FTE22" s="582"/>
      <c r="FTF22" s="582"/>
      <c r="FTG22" s="582"/>
      <c r="FTH22" s="582"/>
      <c r="FTI22" s="582"/>
      <c r="FTJ22" s="582"/>
      <c r="FTK22" s="582"/>
      <c r="FTL22" s="582"/>
      <c r="FTM22" s="582"/>
      <c r="FTN22" s="582"/>
      <c r="FTO22" s="582"/>
      <c r="FTP22" s="582"/>
      <c r="FTQ22" s="582"/>
      <c r="FTR22" s="582"/>
      <c r="FTS22" s="582"/>
      <c r="FTT22" s="582"/>
      <c r="FTU22" s="582"/>
      <c r="FTV22" s="582"/>
      <c r="FTW22" s="582"/>
      <c r="FTX22" s="582"/>
      <c r="FTY22" s="582"/>
      <c r="FTZ22" s="582"/>
      <c r="FUA22" s="582"/>
      <c r="FUB22" s="582"/>
      <c r="FUC22" s="582"/>
      <c r="FUD22" s="582"/>
      <c r="FUE22" s="582"/>
      <c r="FUF22" s="582"/>
      <c r="FUG22" s="582"/>
      <c r="FUH22" s="582"/>
      <c r="FUI22" s="582"/>
      <c r="FUJ22" s="582"/>
      <c r="FUK22" s="582"/>
      <c r="FUL22" s="582"/>
      <c r="FUM22" s="582"/>
      <c r="FUN22" s="582"/>
      <c r="FUO22" s="582"/>
      <c r="FUP22" s="582"/>
      <c r="FUQ22" s="582"/>
      <c r="FUR22" s="582"/>
      <c r="FUS22" s="582"/>
      <c r="FUT22" s="582"/>
      <c r="FUU22" s="582"/>
      <c r="FUV22" s="582"/>
      <c r="FUW22" s="582"/>
      <c r="FUX22" s="582"/>
      <c r="FUY22" s="582"/>
      <c r="FUZ22" s="582"/>
      <c r="FVA22" s="582"/>
      <c r="FVB22" s="582"/>
      <c r="FVC22" s="582"/>
      <c r="FVD22" s="582"/>
      <c r="FVE22" s="582"/>
      <c r="FVF22" s="582"/>
      <c r="FVG22" s="582"/>
      <c r="FVH22" s="582"/>
      <c r="FVI22" s="582"/>
      <c r="FVJ22" s="582"/>
      <c r="FVK22" s="582"/>
      <c r="FVL22" s="582"/>
      <c r="FVM22" s="582"/>
      <c r="FVN22" s="582"/>
      <c r="FVO22" s="582"/>
      <c r="FVP22" s="582"/>
      <c r="FVQ22" s="582"/>
      <c r="FVR22" s="582"/>
      <c r="FVS22" s="582"/>
      <c r="FVT22" s="582"/>
      <c r="FVU22" s="582"/>
      <c r="FVV22" s="582"/>
      <c r="FVW22" s="582"/>
      <c r="FVX22" s="582"/>
      <c r="FVY22" s="582"/>
      <c r="FVZ22" s="582"/>
      <c r="FWA22" s="582"/>
      <c r="FWB22" s="582"/>
      <c r="FWC22" s="582"/>
      <c r="FWD22" s="582"/>
      <c r="FWE22" s="582"/>
      <c r="FWF22" s="582"/>
      <c r="FWG22" s="582"/>
      <c r="FWH22" s="582"/>
      <c r="FWI22" s="582"/>
      <c r="FWJ22" s="582"/>
      <c r="FWK22" s="582"/>
      <c r="FWL22" s="582"/>
      <c r="FWM22" s="582"/>
      <c r="FWN22" s="582"/>
      <c r="FWO22" s="582"/>
      <c r="FWP22" s="582"/>
      <c r="FWQ22" s="582"/>
      <c r="FWR22" s="582"/>
      <c r="FWS22" s="582"/>
      <c r="FWT22" s="582"/>
      <c r="FWU22" s="582"/>
      <c r="FWV22" s="582"/>
      <c r="FWW22" s="582"/>
      <c r="FWX22" s="582"/>
      <c r="FWY22" s="582"/>
      <c r="FWZ22" s="582"/>
      <c r="FXA22" s="582"/>
      <c r="FXB22" s="582"/>
      <c r="FXC22" s="582"/>
      <c r="FXD22" s="582"/>
      <c r="FXE22" s="582"/>
      <c r="FXF22" s="582"/>
      <c r="FXG22" s="582"/>
      <c r="FXH22" s="582"/>
      <c r="FXI22" s="582"/>
      <c r="FXJ22" s="582"/>
      <c r="FXK22" s="582"/>
      <c r="FXL22" s="582"/>
      <c r="FXM22" s="582"/>
      <c r="FXN22" s="582"/>
      <c r="FXO22" s="582"/>
      <c r="FXP22" s="582"/>
      <c r="FXQ22" s="582"/>
      <c r="FXR22" s="582"/>
      <c r="FXS22" s="582"/>
      <c r="FXT22" s="582"/>
      <c r="FXU22" s="582"/>
      <c r="FXV22" s="582"/>
      <c r="FXW22" s="582"/>
      <c r="FXX22" s="582"/>
      <c r="FXY22" s="582"/>
      <c r="FXZ22" s="582"/>
      <c r="FYA22" s="582"/>
      <c r="FYB22" s="582"/>
      <c r="FYC22" s="582"/>
      <c r="FYD22" s="582"/>
      <c r="FYE22" s="582"/>
      <c r="FYF22" s="582"/>
      <c r="FYG22" s="582"/>
      <c r="FYH22" s="582"/>
      <c r="FYI22" s="582"/>
      <c r="FYJ22" s="582"/>
      <c r="FYK22" s="582"/>
      <c r="FYL22" s="582"/>
      <c r="FYM22" s="582"/>
      <c r="FYN22" s="582"/>
      <c r="FYO22" s="582"/>
      <c r="FYP22" s="582"/>
      <c r="FYQ22" s="582"/>
      <c r="FYR22" s="582"/>
      <c r="FYS22" s="582"/>
      <c r="FYT22" s="582"/>
      <c r="FYU22" s="582"/>
      <c r="FYV22" s="582"/>
      <c r="FYW22" s="582"/>
      <c r="FYX22" s="582"/>
      <c r="FYY22" s="582"/>
      <c r="FYZ22" s="582"/>
      <c r="FZA22" s="582"/>
      <c r="FZB22" s="582"/>
      <c r="FZC22" s="582"/>
      <c r="FZD22" s="582"/>
      <c r="FZE22" s="582"/>
      <c r="FZF22" s="582"/>
      <c r="FZG22" s="582"/>
      <c r="FZH22" s="582"/>
      <c r="FZI22" s="582"/>
      <c r="FZJ22" s="582"/>
      <c r="FZK22" s="582"/>
      <c r="FZL22" s="582"/>
      <c r="FZM22" s="582"/>
      <c r="FZN22" s="582"/>
      <c r="FZO22" s="582"/>
      <c r="FZP22" s="582"/>
      <c r="FZQ22" s="582"/>
      <c r="FZR22" s="582"/>
      <c r="FZS22" s="582"/>
      <c r="FZT22" s="582"/>
      <c r="FZU22" s="582"/>
      <c r="FZV22" s="582"/>
      <c r="FZW22" s="582"/>
      <c r="FZX22" s="582"/>
      <c r="FZY22" s="582"/>
      <c r="FZZ22" s="582"/>
      <c r="GAA22" s="582"/>
      <c r="GAB22" s="582"/>
      <c r="GAC22" s="582"/>
      <c r="GAD22" s="582"/>
      <c r="GAE22" s="582"/>
      <c r="GAF22" s="582"/>
      <c r="GAG22" s="582"/>
      <c r="GAH22" s="582"/>
      <c r="GAI22" s="582"/>
      <c r="GAJ22" s="582"/>
      <c r="GAK22" s="582"/>
      <c r="GAL22" s="582"/>
      <c r="GAM22" s="582"/>
      <c r="GAN22" s="582"/>
      <c r="GAO22" s="582"/>
      <c r="GAP22" s="582"/>
      <c r="GAQ22" s="582"/>
      <c r="GAR22" s="582"/>
      <c r="GAS22" s="582"/>
      <c r="GAT22" s="582"/>
      <c r="GAU22" s="582"/>
      <c r="GAV22" s="582"/>
      <c r="GAW22" s="582"/>
      <c r="GAX22" s="582"/>
      <c r="GAY22" s="582"/>
      <c r="GAZ22" s="582"/>
      <c r="GBA22" s="582"/>
      <c r="GBB22" s="582"/>
      <c r="GBC22" s="582"/>
      <c r="GBD22" s="582"/>
      <c r="GBE22" s="582"/>
      <c r="GBF22" s="582"/>
      <c r="GBG22" s="582"/>
      <c r="GBH22" s="582"/>
      <c r="GBI22" s="582"/>
      <c r="GBJ22" s="582"/>
      <c r="GBK22" s="582"/>
      <c r="GBL22" s="582"/>
      <c r="GBM22" s="582"/>
      <c r="GBN22" s="582"/>
      <c r="GBO22" s="582"/>
      <c r="GBP22" s="582"/>
      <c r="GBQ22" s="582"/>
      <c r="GBR22" s="582"/>
      <c r="GBS22" s="582"/>
      <c r="GBT22" s="582"/>
      <c r="GBU22" s="582"/>
      <c r="GBV22" s="582"/>
      <c r="GBW22" s="582"/>
      <c r="GBX22" s="582"/>
      <c r="GBY22" s="582"/>
      <c r="GBZ22" s="582"/>
      <c r="GCA22" s="582"/>
      <c r="GCB22" s="582"/>
      <c r="GCC22" s="582"/>
      <c r="GCD22" s="582"/>
      <c r="GCE22" s="582"/>
      <c r="GCF22" s="582"/>
      <c r="GCG22" s="582"/>
      <c r="GCH22" s="582"/>
      <c r="GCI22" s="582"/>
      <c r="GCJ22" s="582"/>
      <c r="GCK22" s="582"/>
      <c r="GCL22" s="582"/>
      <c r="GCM22" s="582"/>
      <c r="GCN22" s="582"/>
      <c r="GCO22" s="582"/>
      <c r="GCP22" s="582"/>
      <c r="GCQ22" s="582"/>
      <c r="GCR22" s="582"/>
      <c r="GCS22" s="582"/>
      <c r="GCT22" s="582"/>
      <c r="GCU22" s="582"/>
      <c r="GCV22" s="582"/>
      <c r="GCW22" s="582"/>
      <c r="GCX22" s="582"/>
      <c r="GCY22" s="582"/>
      <c r="GCZ22" s="582"/>
      <c r="GDA22" s="582"/>
      <c r="GDB22" s="582"/>
      <c r="GDC22" s="582"/>
      <c r="GDD22" s="582"/>
      <c r="GDE22" s="582"/>
      <c r="GDF22" s="582"/>
      <c r="GDG22" s="582"/>
      <c r="GDH22" s="582"/>
      <c r="GDI22" s="582"/>
      <c r="GDJ22" s="582"/>
      <c r="GDK22" s="582"/>
      <c r="GDL22" s="582"/>
      <c r="GDM22" s="582"/>
      <c r="GDN22" s="582"/>
      <c r="GDO22" s="582"/>
      <c r="GDP22" s="582"/>
      <c r="GDQ22" s="582"/>
      <c r="GDR22" s="582"/>
      <c r="GDS22" s="582"/>
      <c r="GDT22" s="582"/>
      <c r="GDU22" s="582"/>
      <c r="GDV22" s="582"/>
      <c r="GDW22" s="582"/>
      <c r="GDX22" s="582"/>
      <c r="GDY22" s="582"/>
      <c r="GDZ22" s="582"/>
      <c r="GEA22" s="582"/>
      <c r="GEB22" s="582"/>
      <c r="GEC22" s="582"/>
      <c r="GED22" s="582"/>
      <c r="GEE22" s="582"/>
      <c r="GEF22" s="582"/>
      <c r="GEG22" s="582"/>
      <c r="GEH22" s="582"/>
      <c r="GEI22" s="582"/>
      <c r="GEJ22" s="582"/>
      <c r="GEK22" s="582"/>
      <c r="GEL22" s="582"/>
      <c r="GEM22" s="582"/>
      <c r="GEN22" s="582"/>
      <c r="GEO22" s="582"/>
      <c r="GEP22" s="582"/>
      <c r="GEQ22" s="582"/>
      <c r="GER22" s="582"/>
      <c r="GES22" s="582"/>
      <c r="GET22" s="582"/>
      <c r="GEU22" s="582"/>
      <c r="GEV22" s="582"/>
      <c r="GEW22" s="582"/>
      <c r="GEX22" s="582"/>
      <c r="GEY22" s="582"/>
      <c r="GEZ22" s="582"/>
      <c r="GFA22" s="582"/>
      <c r="GFB22" s="582"/>
      <c r="GFC22" s="582"/>
      <c r="GFD22" s="582"/>
      <c r="GFE22" s="582"/>
      <c r="GFF22" s="582"/>
      <c r="GFG22" s="582"/>
      <c r="GFH22" s="582"/>
      <c r="GFI22" s="582"/>
      <c r="GFJ22" s="582"/>
      <c r="GFK22" s="582"/>
      <c r="GFL22" s="582"/>
      <c r="GFM22" s="582"/>
      <c r="GFN22" s="582"/>
      <c r="GFO22" s="582"/>
      <c r="GFP22" s="582"/>
      <c r="GFQ22" s="582"/>
      <c r="GFR22" s="582"/>
      <c r="GFS22" s="582"/>
      <c r="GFT22" s="582"/>
      <c r="GFU22" s="582"/>
      <c r="GFV22" s="582"/>
      <c r="GFW22" s="582"/>
      <c r="GFX22" s="582"/>
      <c r="GFY22" s="582"/>
      <c r="GFZ22" s="582"/>
      <c r="GGA22" s="582"/>
      <c r="GGB22" s="582"/>
      <c r="GGC22" s="582"/>
      <c r="GGD22" s="582"/>
      <c r="GGE22" s="582"/>
      <c r="GGF22" s="582"/>
      <c r="GGG22" s="582"/>
      <c r="GGH22" s="582"/>
      <c r="GGI22" s="582"/>
      <c r="GGJ22" s="582"/>
      <c r="GGK22" s="582"/>
      <c r="GGL22" s="582"/>
      <c r="GGM22" s="582"/>
      <c r="GGN22" s="582"/>
      <c r="GGO22" s="582"/>
      <c r="GGP22" s="582"/>
      <c r="GGQ22" s="582"/>
      <c r="GGR22" s="582"/>
      <c r="GGS22" s="582"/>
      <c r="GGT22" s="582"/>
      <c r="GGU22" s="582"/>
      <c r="GGV22" s="582"/>
      <c r="GGW22" s="582"/>
      <c r="GGX22" s="582"/>
      <c r="GGY22" s="582"/>
      <c r="GGZ22" s="582"/>
      <c r="GHA22" s="582"/>
      <c r="GHB22" s="582"/>
      <c r="GHC22" s="582"/>
      <c r="GHD22" s="582"/>
      <c r="GHE22" s="582"/>
      <c r="GHF22" s="582"/>
      <c r="GHG22" s="582"/>
      <c r="GHH22" s="582"/>
      <c r="GHI22" s="582"/>
      <c r="GHJ22" s="582"/>
      <c r="GHK22" s="582"/>
      <c r="GHL22" s="582"/>
      <c r="GHM22" s="582"/>
      <c r="GHN22" s="582"/>
      <c r="GHO22" s="582"/>
      <c r="GHP22" s="582"/>
      <c r="GHQ22" s="582"/>
      <c r="GHR22" s="582"/>
      <c r="GHS22" s="582"/>
      <c r="GHT22" s="582"/>
      <c r="GHU22" s="582"/>
      <c r="GHV22" s="582"/>
      <c r="GHW22" s="582"/>
      <c r="GHX22" s="582"/>
      <c r="GHY22" s="582"/>
      <c r="GHZ22" s="582"/>
      <c r="GIA22" s="582"/>
      <c r="GIB22" s="582"/>
      <c r="GIC22" s="582"/>
      <c r="GID22" s="582"/>
      <c r="GIE22" s="582"/>
      <c r="GIF22" s="582"/>
      <c r="GIG22" s="582"/>
      <c r="GIH22" s="582"/>
      <c r="GII22" s="582"/>
      <c r="GIJ22" s="582"/>
      <c r="GIK22" s="582"/>
      <c r="GIL22" s="582"/>
      <c r="GIM22" s="582"/>
      <c r="GIN22" s="582"/>
      <c r="GIO22" s="582"/>
      <c r="GIP22" s="582"/>
      <c r="GIQ22" s="582"/>
      <c r="GIR22" s="582"/>
      <c r="GIS22" s="582"/>
      <c r="GIT22" s="582"/>
      <c r="GIU22" s="582"/>
      <c r="GIV22" s="582"/>
      <c r="GIW22" s="582"/>
      <c r="GIX22" s="582"/>
      <c r="GIY22" s="582"/>
      <c r="GIZ22" s="582"/>
      <c r="GJA22" s="582"/>
      <c r="GJB22" s="582"/>
      <c r="GJC22" s="582"/>
      <c r="GJD22" s="582"/>
      <c r="GJE22" s="582"/>
      <c r="GJF22" s="582"/>
      <c r="GJG22" s="582"/>
      <c r="GJH22" s="582"/>
      <c r="GJI22" s="582"/>
      <c r="GJJ22" s="582"/>
      <c r="GJK22" s="582"/>
      <c r="GJL22" s="582"/>
      <c r="GJM22" s="582"/>
      <c r="GJN22" s="582"/>
      <c r="GJO22" s="582"/>
      <c r="GJP22" s="582"/>
      <c r="GJQ22" s="582"/>
      <c r="GJR22" s="582"/>
      <c r="GJS22" s="582"/>
      <c r="GJT22" s="582"/>
      <c r="GJU22" s="582"/>
      <c r="GJV22" s="582"/>
      <c r="GJW22" s="582"/>
      <c r="GJX22" s="582"/>
      <c r="GJY22" s="582"/>
      <c r="GJZ22" s="582"/>
      <c r="GKA22" s="582"/>
      <c r="GKB22" s="582"/>
      <c r="GKC22" s="582"/>
      <c r="GKD22" s="582"/>
      <c r="GKE22" s="582"/>
      <c r="GKF22" s="582"/>
      <c r="GKG22" s="582"/>
      <c r="GKH22" s="582"/>
      <c r="GKI22" s="582"/>
      <c r="GKJ22" s="582"/>
      <c r="GKK22" s="582"/>
      <c r="GKL22" s="582"/>
      <c r="GKM22" s="582"/>
      <c r="GKN22" s="582"/>
      <c r="GKO22" s="582"/>
      <c r="GKP22" s="582"/>
      <c r="GKQ22" s="582"/>
      <c r="GKR22" s="582"/>
      <c r="GKS22" s="582"/>
      <c r="GKT22" s="582"/>
      <c r="GKU22" s="582"/>
      <c r="GKV22" s="582"/>
      <c r="GKW22" s="582"/>
      <c r="GKX22" s="582"/>
      <c r="GKY22" s="582"/>
      <c r="GKZ22" s="582"/>
      <c r="GLA22" s="582"/>
      <c r="GLB22" s="582"/>
      <c r="GLC22" s="582"/>
      <c r="GLD22" s="582"/>
      <c r="GLE22" s="582"/>
      <c r="GLF22" s="582"/>
      <c r="GLG22" s="582"/>
      <c r="GLH22" s="582"/>
      <c r="GLI22" s="582"/>
      <c r="GLJ22" s="582"/>
      <c r="GLK22" s="582"/>
      <c r="GLL22" s="582"/>
      <c r="GLM22" s="582"/>
      <c r="GLN22" s="582"/>
      <c r="GLO22" s="582"/>
      <c r="GLP22" s="582"/>
      <c r="GLQ22" s="582"/>
      <c r="GLR22" s="582"/>
      <c r="GLS22" s="582"/>
      <c r="GLT22" s="582"/>
      <c r="GLU22" s="582"/>
      <c r="GLV22" s="582"/>
      <c r="GLW22" s="582"/>
      <c r="GLX22" s="582"/>
      <c r="GLY22" s="582"/>
      <c r="GLZ22" s="582"/>
      <c r="GMA22" s="582"/>
      <c r="GMB22" s="582"/>
      <c r="GMC22" s="582"/>
      <c r="GMD22" s="582"/>
      <c r="GME22" s="582"/>
      <c r="GMF22" s="582"/>
      <c r="GMG22" s="582"/>
      <c r="GMH22" s="582"/>
      <c r="GMI22" s="582"/>
      <c r="GMJ22" s="582"/>
      <c r="GMK22" s="582"/>
      <c r="GML22" s="582"/>
      <c r="GMM22" s="582"/>
      <c r="GMN22" s="582"/>
      <c r="GMO22" s="582"/>
      <c r="GMP22" s="582"/>
      <c r="GMQ22" s="582"/>
      <c r="GMR22" s="582"/>
      <c r="GMS22" s="582"/>
      <c r="GMT22" s="582"/>
      <c r="GMU22" s="582"/>
      <c r="GMV22" s="582"/>
      <c r="GMW22" s="582"/>
      <c r="GMX22" s="582"/>
      <c r="GMY22" s="582"/>
      <c r="GMZ22" s="582"/>
      <c r="GNA22" s="582"/>
      <c r="GNB22" s="582"/>
      <c r="GNC22" s="582"/>
      <c r="GND22" s="582"/>
      <c r="GNE22" s="582"/>
      <c r="GNF22" s="582"/>
      <c r="GNG22" s="582"/>
      <c r="GNH22" s="582"/>
      <c r="GNI22" s="582"/>
      <c r="GNJ22" s="582"/>
      <c r="GNK22" s="582"/>
      <c r="GNL22" s="582"/>
      <c r="GNM22" s="582"/>
      <c r="GNN22" s="582"/>
      <c r="GNO22" s="582"/>
      <c r="GNP22" s="582"/>
      <c r="GNQ22" s="582"/>
      <c r="GNR22" s="582"/>
      <c r="GNS22" s="582"/>
      <c r="GNT22" s="582"/>
      <c r="GNU22" s="582"/>
      <c r="GNV22" s="582"/>
      <c r="GNW22" s="582"/>
      <c r="GNX22" s="582"/>
      <c r="GNY22" s="582"/>
      <c r="GNZ22" s="582"/>
      <c r="GOA22" s="582"/>
      <c r="GOB22" s="582"/>
      <c r="GOC22" s="582"/>
      <c r="GOD22" s="582"/>
      <c r="GOE22" s="582"/>
      <c r="GOF22" s="582"/>
      <c r="GOG22" s="582"/>
      <c r="GOH22" s="582"/>
      <c r="GOI22" s="582"/>
      <c r="GOJ22" s="582"/>
      <c r="GOK22" s="582"/>
      <c r="GOL22" s="582"/>
      <c r="GOM22" s="582"/>
      <c r="GON22" s="582"/>
      <c r="GOO22" s="582"/>
      <c r="GOP22" s="582"/>
      <c r="GOQ22" s="582"/>
      <c r="GOR22" s="582"/>
      <c r="GOS22" s="582"/>
      <c r="GOT22" s="582"/>
      <c r="GOU22" s="582"/>
      <c r="GOV22" s="582"/>
      <c r="GOW22" s="582"/>
      <c r="GOX22" s="582"/>
      <c r="GOY22" s="582"/>
      <c r="GOZ22" s="582"/>
      <c r="GPA22" s="582"/>
      <c r="GPB22" s="582"/>
      <c r="GPC22" s="582"/>
      <c r="GPD22" s="582"/>
      <c r="GPE22" s="582"/>
      <c r="GPF22" s="582"/>
      <c r="GPG22" s="582"/>
      <c r="GPH22" s="582"/>
      <c r="GPI22" s="582"/>
      <c r="GPJ22" s="582"/>
      <c r="GPK22" s="582"/>
      <c r="GPL22" s="582"/>
      <c r="GPM22" s="582"/>
      <c r="GPN22" s="582"/>
      <c r="GPO22" s="582"/>
      <c r="GPP22" s="582"/>
      <c r="GPQ22" s="582"/>
      <c r="GPR22" s="582"/>
      <c r="GPS22" s="582"/>
      <c r="GPT22" s="582"/>
      <c r="GPU22" s="582"/>
      <c r="GPV22" s="582"/>
      <c r="GPW22" s="582"/>
      <c r="GPX22" s="582"/>
      <c r="GPY22" s="582"/>
      <c r="GPZ22" s="582"/>
      <c r="GQA22" s="582"/>
      <c r="GQB22" s="582"/>
      <c r="GQC22" s="582"/>
      <c r="GQD22" s="582"/>
      <c r="GQE22" s="582"/>
      <c r="GQF22" s="582"/>
      <c r="GQG22" s="582"/>
      <c r="GQH22" s="582"/>
      <c r="GQI22" s="582"/>
      <c r="GQJ22" s="582"/>
      <c r="GQK22" s="582"/>
      <c r="GQL22" s="582"/>
      <c r="GQM22" s="582"/>
      <c r="GQN22" s="582"/>
      <c r="GQO22" s="582"/>
      <c r="GQP22" s="582"/>
      <c r="GQQ22" s="582"/>
      <c r="GQR22" s="582"/>
      <c r="GQS22" s="582"/>
      <c r="GQT22" s="582"/>
      <c r="GQU22" s="582"/>
      <c r="GQV22" s="582"/>
      <c r="GQW22" s="582"/>
      <c r="GQX22" s="582"/>
      <c r="GQY22" s="582"/>
      <c r="GQZ22" s="582"/>
      <c r="GRA22" s="582"/>
      <c r="GRB22" s="582"/>
      <c r="GRC22" s="582"/>
      <c r="GRD22" s="582"/>
      <c r="GRE22" s="582"/>
      <c r="GRF22" s="582"/>
      <c r="GRG22" s="582"/>
      <c r="GRH22" s="582"/>
      <c r="GRI22" s="582"/>
      <c r="GRJ22" s="582"/>
      <c r="GRK22" s="582"/>
      <c r="GRL22" s="582"/>
      <c r="GRM22" s="582"/>
      <c r="GRN22" s="582"/>
      <c r="GRO22" s="582"/>
      <c r="GRP22" s="582"/>
      <c r="GRQ22" s="582"/>
      <c r="GRR22" s="582"/>
      <c r="GRS22" s="582"/>
      <c r="GRT22" s="582"/>
      <c r="GRU22" s="582"/>
      <c r="GRV22" s="582"/>
      <c r="GRW22" s="582"/>
      <c r="GRX22" s="582"/>
      <c r="GRY22" s="582"/>
      <c r="GRZ22" s="582"/>
      <c r="GSA22" s="582"/>
      <c r="GSB22" s="582"/>
      <c r="GSC22" s="582"/>
      <c r="GSD22" s="582"/>
      <c r="GSE22" s="582"/>
      <c r="GSF22" s="582"/>
      <c r="GSG22" s="582"/>
      <c r="GSH22" s="582"/>
      <c r="GSI22" s="582"/>
      <c r="GSJ22" s="582"/>
      <c r="GSK22" s="582"/>
      <c r="GSL22" s="582"/>
      <c r="GSM22" s="582"/>
      <c r="GSN22" s="582"/>
      <c r="GSO22" s="582"/>
      <c r="GSP22" s="582"/>
      <c r="GSQ22" s="582"/>
      <c r="GSR22" s="582"/>
      <c r="GSS22" s="582"/>
      <c r="GST22" s="582"/>
      <c r="GSU22" s="582"/>
      <c r="GSV22" s="582"/>
      <c r="GSW22" s="582"/>
      <c r="GSX22" s="582"/>
      <c r="GSY22" s="582"/>
      <c r="GSZ22" s="582"/>
      <c r="GTA22" s="582"/>
      <c r="GTB22" s="582"/>
      <c r="GTC22" s="582"/>
      <c r="GTD22" s="582"/>
      <c r="GTE22" s="582"/>
      <c r="GTF22" s="582"/>
      <c r="GTG22" s="582"/>
      <c r="GTH22" s="582"/>
      <c r="GTI22" s="582"/>
      <c r="GTJ22" s="582"/>
      <c r="GTK22" s="582"/>
      <c r="GTL22" s="582"/>
      <c r="GTM22" s="582"/>
      <c r="GTN22" s="582"/>
      <c r="GTO22" s="582"/>
      <c r="GTP22" s="582"/>
      <c r="GTQ22" s="582"/>
      <c r="GTR22" s="582"/>
      <c r="GTS22" s="582"/>
      <c r="GTT22" s="582"/>
      <c r="GTU22" s="582"/>
      <c r="GTV22" s="582"/>
      <c r="GTW22" s="582"/>
      <c r="GTX22" s="582"/>
      <c r="GTY22" s="582"/>
      <c r="GTZ22" s="582"/>
      <c r="GUA22" s="582"/>
      <c r="GUB22" s="582"/>
      <c r="GUC22" s="582"/>
    </row>
    <row r="23" spans="1:5281" ht="19.5" customHeight="1" thickBot="1">
      <c r="A23" s="594">
        <v>4</v>
      </c>
      <c r="B23" s="595" t="s">
        <v>773</v>
      </c>
      <c r="C23" s="610">
        <v>1822595.8019999999</v>
      </c>
      <c r="D23" s="611">
        <v>0</v>
      </c>
      <c r="E23" s="611">
        <v>0</v>
      </c>
      <c r="F23" s="598">
        <f t="shared" si="1"/>
        <v>1822595.8019999999</v>
      </c>
      <c r="G23" s="582"/>
      <c r="H23" s="614"/>
      <c r="I23" s="614"/>
      <c r="J23" s="614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582"/>
      <c r="AB23" s="582"/>
      <c r="AC23" s="582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2"/>
      <c r="AQ23" s="582"/>
      <c r="AR23" s="582"/>
      <c r="AS23" s="582"/>
      <c r="AT23" s="582"/>
      <c r="AU23" s="582"/>
      <c r="AV23" s="582"/>
      <c r="AW23" s="582"/>
      <c r="AX23" s="582"/>
      <c r="AY23" s="582"/>
      <c r="AZ23" s="582"/>
      <c r="BA23" s="582"/>
      <c r="BB23" s="582"/>
      <c r="BC23" s="582"/>
      <c r="BD23" s="582"/>
      <c r="BE23" s="582"/>
      <c r="BF23" s="582"/>
      <c r="BG23" s="582"/>
      <c r="BH23" s="582"/>
      <c r="BI23" s="582"/>
      <c r="BJ23" s="582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582"/>
      <c r="BV23" s="582"/>
      <c r="BW23" s="582"/>
      <c r="BX23" s="582"/>
      <c r="BY23" s="582"/>
      <c r="BZ23" s="582"/>
      <c r="CA23" s="582"/>
      <c r="CB23" s="582"/>
      <c r="CC23" s="582"/>
      <c r="CD23" s="582"/>
      <c r="CE23" s="582"/>
      <c r="CF23" s="582"/>
      <c r="CG23" s="582"/>
      <c r="CH23" s="582"/>
      <c r="CI23" s="582"/>
      <c r="CJ23" s="582"/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582"/>
      <c r="DB23" s="582"/>
      <c r="DC23" s="582"/>
      <c r="DD23" s="582"/>
      <c r="DE23" s="582"/>
      <c r="DF23" s="582"/>
      <c r="DG23" s="582"/>
      <c r="DH23" s="582"/>
      <c r="DI23" s="582"/>
      <c r="DJ23" s="582"/>
      <c r="DK23" s="582"/>
      <c r="DL23" s="582"/>
      <c r="DM23" s="582"/>
      <c r="DN23" s="582"/>
      <c r="DO23" s="582"/>
      <c r="DP23" s="582"/>
      <c r="DQ23" s="582"/>
      <c r="DR23" s="582"/>
      <c r="DS23" s="582"/>
      <c r="DT23" s="582"/>
      <c r="DU23" s="582"/>
      <c r="DV23" s="582"/>
      <c r="DW23" s="582"/>
      <c r="DX23" s="582"/>
      <c r="DY23" s="582"/>
      <c r="DZ23" s="582"/>
      <c r="EA23" s="582"/>
      <c r="EB23" s="582"/>
      <c r="EC23" s="582"/>
      <c r="ED23" s="582"/>
      <c r="EE23" s="582"/>
      <c r="EF23" s="582"/>
      <c r="EG23" s="582"/>
      <c r="EH23" s="582"/>
      <c r="EI23" s="582"/>
      <c r="EJ23" s="582"/>
      <c r="EK23" s="582"/>
      <c r="EL23" s="582"/>
      <c r="EM23" s="582"/>
      <c r="EN23" s="582"/>
      <c r="EO23" s="582"/>
      <c r="EP23" s="582"/>
      <c r="EQ23" s="582"/>
      <c r="ER23" s="582"/>
      <c r="ES23" s="582"/>
      <c r="ET23" s="582"/>
      <c r="EU23" s="582"/>
      <c r="EV23" s="582"/>
      <c r="EW23" s="582"/>
      <c r="EX23" s="582"/>
      <c r="EY23" s="582"/>
      <c r="EZ23" s="582"/>
      <c r="FA23" s="582"/>
      <c r="FB23" s="582"/>
      <c r="FC23" s="582"/>
      <c r="FD23" s="582"/>
      <c r="FE23" s="582"/>
      <c r="FF23" s="582"/>
      <c r="FG23" s="582"/>
      <c r="FH23" s="582"/>
      <c r="FI23" s="582"/>
      <c r="FJ23" s="582"/>
      <c r="FK23" s="582"/>
      <c r="FL23" s="582"/>
      <c r="FM23" s="582"/>
      <c r="FN23" s="582"/>
      <c r="FO23" s="582"/>
      <c r="FP23" s="582"/>
      <c r="FQ23" s="582"/>
      <c r="FR23" s="582"/>
      <c r="FS23" s="582"/>
      <c r="FT23" s="582"/>
      <c r="FU23" s="582"/>
      <c r="FV23" s="582"/>
      <c r="FW23" s="582"/>
      <c r="FX23" s="582"/>
      <c r="FY23" s="582"/>
      <c r="FZ23" s="582"/>
      <c r="GA23" s="582"/>
      <c r="GB23" s="582"/>
      <c r="GC23" s="582"/>
      <c r="GD23" s="582"/>
      <c r="GE23" s="582"/>
      <c r="GF23" s="582"/>
      <c r="GG23" s="582"/>
      <c r="GH23" s="582"/>
      <c r="GI23" s="582"/>
      <c r="GJ23" s="582"/>
      <c r="GK23" s="582"/>
      <c r="GL23" s="582"/>
      <c r="GM23" s="582"/>
      <c r="GN23" s="582"/>
      <c r="GO23" s="582"/>
      <c r="GP23" s="582"/>
      <c r="GQ23" s="582"/>
      <c r="GR23" s="582"/>
      <c r="GS23" s="582"/>
      <c r="GT23" s="582"/>
      <c r="GU23" s="582"/>
      <c r="GV23" s="582"/>
      <c r="GW23" s="582"/>
      <c r="GX23" s="582"/>
      <c r="GY23" s="582"/>
      <c r="GZ23" s="582"/>
      <c r="HA23" s="582"/>
      <c r="HB23" s="582"/>
      <c r="HC23" s="582"/>
      <c r="HD23" s="582"/>
      <c r="HE23" s="582"/>
      <c r="HF23" s="582"/>
      <c r="HG23" s="582"/>
      <c r="HH23" s="582"/>
      <c r="HI23" s="582"/>
      <c r="HJ23" s="582"/>
      <c r="HK23" s="582"/>
      <c r="HL23" s="582"/>
      <c r="HM23" s="582"/>
      <c r="HN23" s="582"/>
      <c r="HO23" s="582"/>
      <c r="HP23" s="582"/>
      <c r="HQ23" s="582"/>
      <c r="HR23" s="582"/>
      <c r="HS23" s="582"/>
      <c r="HT23" s="582"/>
      <c r="HU23" s="582"/>
      <c r="HV23" s="582"/>
      <c r="HW23" s="582"/>
      <c r="HX23" s="582"/>
      <c r="HY23" s="582"/>
      <c r="HZ23" s="582"/>
      <c r="IA23" s="582"/>
      <c r="IB23" s="582"/>
      <c r="IC23" s="582"/>
      <c r="ID23" s="582"/>
      <c r="IE23" s="582"/>
      <c r="IF23" s="582"/>
      <c r="IG23" s="582"/>
      <c r="IH23" s="582"/>
      <c r="II23" s="582"/>
      <c r="IJ23" s="582"/>
      <c r="IK23" s="582"/>
      <c r="IL23" s="582"/>
      <c r="IM23" s="582"/>
      <c r="IN23" s="582"/>
      <c r="IO23" s="582"/>
      <c r="IP23" s="582"/>
      <c r="IQ23" s="582"/>
      <c r="IR23" s="582"/>
      <c r="IS23" s="582"/>
      <c r="IT23" s="582"/>
      <c r="IU23" s="582"/>
      <c r="IV23" s="582"/>
      <c r="IW23" s="582"/>
      <c r="IX23" s="582"/>
      <c r="IY23" s="582"/>
      <c r="IZ23" s="582"/>
      <c r="JA23" s="582"/>
      <c r="JB23" s="582"/>
      <c r="JC23" s="582"/>
      <c r="JD23" s="582"/>
      <c r="JE23" s="582"/>
      <c r="JF23" s="582"/>
      <c r="JG23" s="582"/>
      <c r="JH23" s="582"/>
      <c r="JI23" s="582"/>
      <c r="JJ23" s="582"/>
      <c r="JK23" s="582"/>
      <c r="JL23" s="582"/>
      <c r="JM23" s="582"/>
      <c r="JN23" s="582"/>
      <c r="JO23" s="582"/>
      <c r="JP23" s="582"/>
      <c r="JQ23" s="582"/>
      <c r="JR23" s="582"/>
      <c r="JS23" s="582"/>
      <c r="JT23" s="582"/>
      <c r="JU23" s="582"/>
      <c r="JV23" s="582"/>
      <c r="JW23" s="582"/>
      <c r="JX23" s="582"/>
      <c r="JY23" s="582"/>
      <c r="JZ23" s="582"/>
      <c r="KA23" s="582"/>
      <c r="KB23" s="582"/>
      <c r="KC23" s="582"/>
      <c r="KD23" s="582"/>
      <c r="KE23" s="582"/>
      <c r="KF23" s="582"/>
      <c r="KG23" s="582"/>
      <c r="KH23" s="582"/>
      <c r="KI23" s="582"/>
      <c r="KJ23" s="582"/>
      <c r="KK23" s="582"/>
      <c r="KL23" s="582"/>
      <c r="KM23" s="582"/>
      <c r="KN23" s="582"/>
      <c r="KO23" s="582"/>
      <c r="KP23" s="582"/>
      <c r="KQ23" s="582"/>
      <c r="KR23" s="582"/>
      <c r="KS23" s="582"/>
      <c r="KT23" s="582"/>
      <c r="KU23" s="582"/>
      <c r="KV23" s="582"/>
      <c r="KW23" s="582"/>
      <c r="KX23" s="582"/>
      <c r="KY23" s="582"/>
      <c r="KZ23" s="582"/>
      <c r="LA23" s="582"/>
      <c r="LB23" s="582"/>
      <c r="LC23" s="582"/>
      <c r="LD23" s="582"/>
      <c r="LE23" s="582"/>
      <c r="LF23" s="582"/>
      <c r="LG23" s="582"/>
      <c r="LH23" s="582"/>
      <c r="LI23" s="582"/>
      <c r="LJ23" s="582"/>
      <c r="LK23" s="582"/>
      <c r="LL23" s="582"/>
      <c r="LM23" s="582"/>
      <c r="LN23" s="582"/>
      <c r="LO23" s="582"/>
      <c r="LP23" s="582"/>
      <c r="LQ23" s="582"/>
      <c r="LR23" s="582"/>
      <c r="LS23" s="582"/>
      <c r="LT23" s="582"/>
      <c r="LU23" s="582"/>
      <c r="LV23" s="582"/>
      <c r="LW23" s="582"/>
      <c r="LX23" s="582"/>
      <c r="LY23" s="582"/>
      <c r="LZ23" s="582"/>
      <c r="MA23" s="582"/>
      <c r="MB23" s="582"/>
      <c r="MC23" s="582"/>
      <c r="MD23" s="582"/>
      <c r="ME23" s="582"/>
      <c r="MF23" s="582"/>
      <c r="MG23" s="582"/>
      <c r="MH23" s="582"/>
      <c r="MI23" s="582"/>
      <c r="MJ23" s="582"/>
      <c r="MK23" s="582"/>
      <c r="ML23" s="582"/>
      <c r="MM23" s="582"/>
      <c r="MN23" s="582"/>
      <c r="MO23" s="582"/>
      <c r="MP23" s="582"/>
      <c r="MQ23" s="582"/>
      <c r="MR23" s="582"/>
      <c r="MS23" s="582"/>
      <c r="MT23" s="582"/>
      <c r="MU23" s="582"/>
      <c r="MV23" s="582"/>
      <c r="MW23" s="582"/>
      <c r="MX23" s="582"/>
      <c r="MY23" s="582"/>
      <c r="MZ23" s="582"/>
      <c r="NA23" s="582"/>
      <c r="NB23" s="582"/>
      <c r="NC23" s="582"/>
      <c r="ND23" s="582"/>
      <c r="NE23" s="582"/>
      <c r="NF23" s="582"/>
      <c r="NG23" s="582"/>
      <c r="NH23" s="582"/>
      <c r="NI23" s="582"/>
      <c r="NJ23" s="582"/>
      <c r="NK23" s="582"/>
      <c r="NL23" s="582"/>
      <c r="NM23" s="582"/>
      <c r="NN23" s="582"/>
      <c r="NO23" s="582"/>
      <c r="NP23" s="582"/>
      <c r="NQ23" s="582"/>
      <c r="NR23" s="582"/>
      <c r="NS23" s="582"/>
      <c r="NT23" s="582"/>
      <c r="NU23" s="582"/>
      <c r="NV23" s="582"/>
      <c r="NW23" s="582"/>
      <c r="NX23" s="582"/>
      <c r="NY23" s="582"/>
      <c r="NZ23" s="582"/>
      <c r="OA23" s="582"/>
      <c r="OB23" s="582"/>
      <c r="OC23" s="582"/>
      <c r="OD23" s="582"/>
      <c r="OE23" s="582"/>
      <c r="OF23" s="582"/>
      <c r="OG23" s="582"/>
      <c r="OH23" s="582"/>
      <c r="OI23" s="582"/>
      <c r="OJ23" s="582"/>
      <c r="OK23" s="582"/>
      <c r="OL23" s="582"/>
      <c r="OM23" s="582"/>
      <c r="ON23" s="582"/>
      <c r="OO23" s="582"/>
      <c r="OP23" s="582"/>
      <c r="OQ23" s="582"/>
      <c r="OR23" s="582"/>
      <c r="OS23" s="582"/>
      <c r="OT23" s="582"/>
      <c r="OU23" s="582"/>
      <c r="OV23" s="582"/>
      <c r="OW23" s="582"/>
      <c r="OX23" s="582"/>
      <c r="OY23" s="582"/>
      <c r="OZ23" s="582"/>
      <c r="PA23" s="582"/>
      <c r="PB23" s="582"/>
      <c r="PC23" s="582"/>
      <c r="PD23" s="582"/>
      <c r="PE23" s="582"/>
      <c r="PF23" s="582"/>
      <c r="PG23" s="582"/>
      <c r="PH23" s="582"/>
      <c r="PI23" s="582"/>
      <c r="PJ23" s="582"/>
      <c r="PK23" s="582"/>
      <c r="PL23" s="582"/>
      <c r="PM23" s="582"/>
      <c r="PN23" s="582"/>
      <c r="PO23" s="582"/>
      <c r="PP23" s="582"/>
      <c r="PQ23" s="582"/>
      <c r="PR23" s="582"/>
      <c r="PS23" s="582"/>
      <c r="PT23" s="582"/>
      <c r="PU23" s="582"/>
      <c r="PV23" s="582"/>
      <c r="PW23" s="582"/>
      <c r="PX23" s="582"/>
      <c r="PY23" s="582"/>
      <c r="PZ23" s="582"/>
      <c r="QA23" s="582"/>
      <c r="QB23" s="582"/>
      <c r="QC23" s="582"/>
      <c r="QD23" s="582"/>
      <c r="QE23" s="582"/>
      <c r="QF23" s="582"/>
      <c r="QG23" s="582"/>
      <c r="QH23" s="582"/>
      <c r="QI23" s="582"/>
      <c r="QJ23" s="582"/>
      <c r="QK23" s="582"/>
      <c r="QL23" s="582"/>
      <c r="QM23" s="582"/>
      <c r="QN23" s="582"/>
      <c r="QO23" s="582"/>
      <c r="QP23" s="582"/>
      <c r="QQ23" s="582"/>
      <c r="QR23" s="582"/>
      <c r="QS23" s="582"/>
      <c r="QT23" s="582"/>
      <c r="QU23" s="582"/>
      <c r="QV23" s="582"/>
      <c r="QW23" s="582"/>
      <c r="QX23" s="582"/>
      <c r="QY23" s="582"/>
      <c r="QZ23" s="582"/>
      <c r="RA23" s="582"/>
      <c r="RB23" s="582"/>
      <c r="RC23" s="582"/>
      <c r="RD23" s="582"/>
      <c r="RE23" s="582"/>
      <c r="RF23" s="582"/>
      <c r="RG23" s="582"/>
      <c r="RH23" s="582"/>
      <c r="RI23" s="582"/>
      <c r="RJ23" s="582"/>
      <c r="RK23" s="582"/>
      <c r="RL23" s="582"/>
      <c r="RM23" s="582"/>
      <c r="RN23" s="582"/>
      <c r="RO23" s="582"/>
      <c r="RP23" s="582"/>
      <c r="RQ23" s="582"/>
      <c r="RR23" s="582"/>
      <c r="RS23" s="582"/>
      <c r="RT23" s="582"/>
      <c r="RU23" s="582"/>
      <c r="RV23" s="582"/>
      <c r="RW23" s="582"/>
      <c r="RX23" s="582"/>
      <c r="RY23" s="582"/>
      <c r="RZ23" s="582"/>
      <c r="SA23" s="582"/>
      <c r="SB23" s="582"/>
      <c r="SC23" s="582"/>
      <c r="SD23" s="582"/>
      <c r="SE23" s="582"/>
      <c r="SF23" s="582"/>
      <c r="SG23" s="582"/>
      <c r="SH23" s="582"/>
      <c r="SI23" s="582"/>
      <c r="SJ23" s="582"/>
      <c r="SK23" s="582"/>
      <c r="SL23" s="582"/>
      <c r="SM23" s="582"/>
      <c r="SN23" s="582"/>
      <c r="SO23" s="582"/>
      <c r="SP23" s="582"/>
      <c r="SQ23" s="582"/>
      <c r="SR23" s="582"/>
      <c r="SS23" s="582"/>
      <c r="ST23" s="582"/>
      <c r="SU23" s="582"/>
      <c r="SV23" s="582"/>
      <c r="SW23" s="582"/>
      <c r="SX23" s="582"/>
      <c r="SY23" s="582"/>
      <c r="SZ23" s="582"/>
      <c r="TA23" s="582"/>
      <c r="TB23" s="582"/>
      <c r="TC23" s="582"/>
      <c r="TD23" s="582"/>
      <c r="TE23" s="582"/>
      <c r="TF23" s="582"/>
      <c r="TG23" s="582"/>
      <c r="TH23" s="582"/>
      <c r="TI23" s="582"/>
      <c r="TJ23" s="582"/>
      <c r="TK23" s="582"/>
      <c r="TL23" s="582"/>
      <c r="TM23" s="582"/>
      <c r="TN23" s="582"/>
      <c r="TO23" s="582"/>
      <c r="TP23" s="582"/>
      <c r="TQ23" s="582"/>
      <c r="TR23" s="582"/>
      <c r="TS23" s="582"/>
      <c r="TT23" s="582"/>
      <c r="TU23" s="582"/>
      <c r="TV23" s="582"/>
      <c r="TW23" s="582"/>
      <c r="TX23" s="582"/>
      <c r="TY23" s="582"/>
      <c r="TZ23" s="582"/>
      <c r="UA23" s="582"/>
      <c r="UB23" s="582"/>
      <c r="UC23" s="582"/>
      <c r="UD23" s="582"/>
      <c r="UE23" s="582"/>
      <c r="UF23" s="582"/>
      <c r="UG23" s="582"/>
      <c r="UH23" s="582"/>
      <c r="UI23" s="582"/>
      <c r="UJ23" s="582"/>
      <c r="UK23" s="582"/>
      <c r="UL23" s="582"/>
      <c r="UM23" s="582"/>
      <c r="UN23" s="582"/>
      <c r="UO23" s="582"/>
      <c r="UP23" s="582"/>
      <c r="UQ23" s="582"/>
      <c r="UR23" s="582"/>
      <c r="US23" s="582"/>
      <c r="UT23" s="582"/>
      <c r="UU23" s="582"/>
      <c r="UV23" s="582"/>
      <c r="UW23" s="582"/>
      <c r="UX23" s="582"/>
      <c r="UY23" s="582"/>
      <c r="UZ23" s="582"/>
      <c r="VA23" s="582"/>
      <c r="VB23" s="582"/>
      <c r="VC23" s="582"/>
      <c r="VD23" s="582"/>
      <c r="VE23" s="582"/>
      <c r="VF23" s="582"/>
      <c r="VG23" s="582"/>
      <c r="VH23" s="582"/>
      <c r="VI23" s="582"/>
      <c r="VJ23" s="582"/>
      <c r="VK23" s="582"/>
      <c r="VL23" s="582"/>
      <c r="VM23" s="582"/>
      <c r="VN23" s="582"/>
      <c r="VO23" s="582"/>
      <c r="VP23" s="582"/>
      <c r="VQ23" s="582"/>
      <c r="VR23" s="582"/>
      <c r="VS23" s="582"/>
      <c r="VT23" s="582"/>
      <c r="VU23" s="582"/>
      <c r="VV23" s="582"/>
      <c r="VW23" s="582"/>
      <c r="VX23" s="582"/>
      <c r="VY23" s="582"/>
      <c r="VZ23" s="582"/>
      <c r="WA23" s="582"/>
      <c r="WB23" s="582"/>
      <c r="WC23" s="582"/>
      <c r="WD23" s="582"/>
      <c r="WE23" s="582"/>
      <c r="WF23" s="582"/>
      <c r="WG23" s="582"/>
      <c r="WH23" s="582"/>
      <c r="WI23" s="582"/>
      <c r="WJ23" s="582"/>
      <c r="WK23" s="582"/>
      <c r="WL23" s="582"/>
      <c r="WM23" s="582"/>
      <c r="WN23" s="582"/>
      <c r="WO23" s="582"/>
      <c r="WP23" s="582"/>
      <c r="WQ23" s="582"/>
      <c r="WR23" s="582"/>
      <c r="WS23" s="582"/>
      <c r="WT23" s="582"/>
      <c r="WU23" s="582"/>
      <c r="WV23" s="582"/>
      <c r="WW23" s="582"/>
      <c r="WX23" s="582"/>
      <c r="WY23" s="582"/>
      <c r="WZ23" s="582"/>
      <c r="XA23" s="582"/>
      <c r="XB23" s="582"/>
      <c r="XC23" s="582"/>
      <c r="XD23" s="582"/>
      <c r="XE23" s="582"/>
      <c r="XF23" s="582"/>
      <c r="XG23" s="582"/>
      <c r="XH23" s="582"/>
      <c r="XI23" s="582"/>
      <c r="XJ23" s="582"/>
      <c r="XK23" s="582"/>
      <c r="XL23" s="582"/>
      <c r="XM23" s="582"/>
      <c r="XN23" s="582"/>
      <c r="XO23" s="582"/>
      <c r="XP23" s="582"/>
      <c r="XQ23" s="582"/>
      <c r="XR23" s="582"/>
      <c r="XS23" s="582"/>
      <c r="XT23" s="582"/>
      <c r="XU23" s="582"/>
      <c r="XV23" s="582"/>
      <c r="XW23" s="582"/>
      <c r="XX23" s="582"/>
      <c r="XY23" s="582"/>
      <c r="XZ23" s="582"/>
      <c r="YA23" s="582"/>
      <c r="YB23" s="582"/>
      <c r="YC23" s="582"/>
      <c r="YD23" s="582"/>
      <c r="YE23" s="582"/>
      <c r="YF23" s="582"/>
      <c r="YG23" s="582"/>
      <c r="YH23" s="582"/>
      <c r="YI23" s="582"/>
      <c r="YJ23" s="582"/>
      <c r="YK23" s="582"/>
      <c r="YL23" s="582"/>
      <c r="YM23" s="582"/>
      <c r="YN23" s="582"/>
      <c r="YO23" s="582"/>
      <c r="YP23" s="582"/>
      <c r="YQ23" s="582"/>
      <c r="YR23" s="582"/>
      <c r="YS23" s="582"/>
      <c r="YT23" s="582"/>
      <c r="YU23" s="582"/>
      <c r="YV23" s="582"/>
      <c r="YW23" s="582"/>
      <c r="YX23" s="582"/>
      <c r="YY23" s="582"/>
      <c r="YZ23" s="582"/>
      <c r="ZA23" s="582"/>
      <c r="ZB23" s="582"/>
      <c r="ZC23" s="582"/>
      <c r="ZD23" s="582"/>
      <c r="ZE23" s="582"/>
      <c r="ZF23" s="582"/>
      <c r="ZG23" s="582"/>
      <c r="ZH23" s="582"/>
      <c r="ZI23" s="582"/>
      <c r="ZJ23" s="582"/>
      <c r="ZK23" s="582"/>
      <c r="ZL23" s="582"/>
      <c r="ZM23" s="582"/>
      <c r="ZN23" s="582"/>
      <c r="ZO23" s="582"/>
      <c r="ZP23" s="582"/>
      <c r="ZQ23" s="582"/>
      <c r="ZR23" s="582"/>
      <c r="ZS23" s="582"/>
      <c r="ZT23" s="582"/>
      <c r="ZU23" s="582"/>
      <c r="ZV23" s="582"/>
      <c r="ZW23" s="582"/>
      <c r="ZX23" s="582"/>
      <c r="ZY23" s="582"/>
      <c r="ZZ23" s="582"/>
      <c r="AAA23" s="582"/>
      <c r="AAB23" s="582"/>
      <c r="AAC23" s="582"/>
      <c r="AAD23" s="582"/>
      <c r="AAE23" s="582"/>
      <c r="AAF23" s="582"/>
      <c r="AAG23" s="582"/>
      <c r="AAH23" s="582"/>
      <c r="AAI23" s="582"/>
      <c r="AAJ23" s="582"/>
      <c r="AAK23" s="582"/>
      <c r="AAL23" s="582"/>
      <c r="AAM23" s="582"/>
      <c r="AAN23" s="582"/>
      <c r="AAO23" s="582"/>
      <c r="AAP23" s="582"/>
      <c r="AAQ23" s="582"/>
      <c r="AAR23" s="582"/>
      <c r="AAS23" s="582"/>
      <c r="AAT23" s="582"/>
      <c r="AAU23" s="582"/>
      <c r="AAV23" s="582"/>
      <c r="AAW23" s="582"/>
      <c r="AAX23" s="582"/>
      <c r="AAY23" s="582"/>
      <c r="AAZ23" s="582"/>
      <c r="ABA23" s="582"/>
      <c r="ABB23" s="582"/>
      <c r="ABC23" s="582"/>
      <c r="ABD23" s="582"/>
      <c r="ABE23" s="582"/>
      <c r="ABF23" s="582"/>
      <c r="ABG23" s="582"/>
      <c r="ABH23" s="582"/>
      <c r="ABI23" s="582"/>
      <c r="ABJ23" s="582"/>
      <c r="ABK23" s="582"/>
      <c r="ABL23" s="582"/>
      <c r="ABM23" s="582"/>
      <c r="ABN23" s="582"/>
      <c r="ABO23" s="582"/>
      <c r="ABP23" s="582"/>
      <c r="ABQ23" s="582"/>
      <c r="ABR23" s="582"/>
      <c r="ABS23" s="582"/>
      <c r="ABT23" s="582"/>
      <c r="ABU23" s="582"/>
      <c r="ABV23" s="582"/>
      <c r="ABW23" s="582"/>
      <c r="ABX23" s="582"/>
      <c r="ABY23" s="582"/>
      <c r="ABZ23" s="582"/>
      <c r="ACA23" s="582"/>
      <c r="ACB23" s="582"/>
      <c r="ACC23" s="582"/>
      <c r="ACD23" s="582"/>
      <c r="ACE23" s="582"/>
      <c r="ACF23" s="582"/>
      <c r="ACG23" s="582"/>
      <c r="ACH23" s="582"/>
      <c r="ACI23" s="582"/>
      <c r="ACJ23" s="582"/>
      <c r="ACK23" s="582"/>
      <c r="ACL23" s="582"/>
      <c r="ACM23" s="582"/>
      <c r="ACN23" s="582"/>
      <c r="ACO23" s="582"/>
      <c r="ACP23" s="582"/>
      <c r="ACQ23" s="582"/>
      <c r="ACR23" s="582"/>
      <c r="ACS23" s="582"/>
      <c r="ACT23" s="582"/>
      <c r="ACU23" s="582"/>
      <c r="ACV23" s="582"/>
      <c r="ACW23" s="582"/>
      <c r="ACX23" s="582"/>
      <c r="ACY23" s="582"/>
      <c r="ACZ23" s="582"/>
      <c r="ADA23" s="582"/>
      <c r="ADB23" s="582"/>
      <c r="ADC23" s="582"/>
      <c r="ADD23" s="582"/>
      <c r="ADE23" s="582"/>
      <c r="ADF23" s="582"/>
      <c r="ADG23" s="582"/>
      <c r="ADH23" s="582"/>
      <c r="ADI23" s="582"/>
      <c r="ADJ23" s="582"/>
      <c r="ADK23" s="582"/>
      <c r="ADL23" s="582"/>
      <c r="ADM23" s="582"/>
      <c r="ADN23" s="582"/>
      <c r="ADO23" s="582"/>
      <c r="ADP23" s="582"/>
      <c r="ADQ23" s="582"/>
      <c r="ADR23" s="582"/>
      <c r="ADS23" s="582"/>
      <c r="ADT23" s="582"/>
      <c r="ADU23" s="582"/>
      <c r="ADV23" s="582"/>
      <c r="ADW23" s="582"/>
      <c r="ADX23" s="582"/>
      <c r="ADY23" s="582"/>
      <c r="ADZ23" s="582"/>
      <c r="AEA23" s="582"/>
      <c r="AEB23" s="582"/>
      <c r="AEC23" s="582"/>
      <c r="AED23" s="582"/>
      <c r="AEE23" s="582"/>
      <c r="AEF23" s="582"/>
      <c r="AEG23" s="582"/>
      <c r="AEH23" s="582"/>
      <c r="AEI23" s="582"/>
      <c r="AEJ23" s="582"/>
      <c r="AEK23" s="582"/>
      <c r="AEL23" s="582"/>
      <c r="AEM23" s="582"/>
      <c r="AEN23" s="582"/>
      <c r="AEO23" s="582"/>
      <c r="AEP23" s="582"/>
      <c r="AEQ23" s="582"/>
      <c r="AER23" s="582"/>
      <c r="AES23" s="582"/>
      <c r="AET23" s="582"/>
      <c r="AEU23" s="582"/>
      <c r="AEV23" s="582"/>
      <c r="AEW23" s="582"/>
      <c r="AEX23" s="582"/>
      <c r="AEY23" s="582"/>
      <c r="AEZ23" s="582"/>
      <c r="AFA23" s="582"/>
      <c r="AFB23" s="582"/>
      <c r="AFC23" s="582"/>
      <c r="AFD23" s="582"/>
      <c r="AFE23" s="582"/>
      <c r="AFF23" s="582"/>
      <c r="AFG23" s="582"/>
      <c r="AFH23" s="582"/>
      <c r="AFI23" s="582"/>
      <c r="AFJ23" s="582"/>
      <c r="AFK23" s="582"/>
      <c r="AFL23" s="582"/>
      <c r="AFM23" s="582"/>
      <c r="AFN23" s="582"/>
      <c r="AFO23" s="582"/>
      <c r="AFP23" s="582"/>
      <c r="AFQ23" s="582"/>
      <c r="AFR23" s="582"/>
      <c r="AFS23" s="582"/>
      <c r="AFT23" s="582"/>
      <c r="AFU23" s="582"/>
      <c r="AFV23" s="582"/>
      <c r="AFW23" s="582"/>
      <c r="AFX23" s="582"/>
      <c r="AFY23" s="582"/>
      <c r="AFZ23" s="582"/>
      <c r="AGA23" s="582"/>
      <c r="AGB23" s="582"/>
      <c r="AGC23" s="582"/>
      <c r="AGD23" s="582"/>
      <c r="AGE23" s="582"/>
      <c r="AGF23" s="582"/>
      <c r="AGG23" s="582"/>
      <c r="AGH23" s="582"/>
      <c r="AGI23" s="582"/>
      <c r="AGJ23" s="582"/>
      <c r="AGK23" s="582"/>
      <c r="AGL23" s="582"/>
      <c r="AGM23" s="582"/>
      <c r="AGN23" s="582"/>
      <c r="AGO23" s="582"/>
      <c r="AGP23" s="582"/>
      <c r="AGQ23" s="582"/>
      <c r="AGR23" s="582"/>
      <c r="AGS23" s="582"/>
      <c r="AGT23" s="582"/>
      <c r="AGU23" s="582"/>
      <c r="AGV23" s="582"/>
      <c r="AGW23" s="582"/>
      <c r="AGX23" s="582"/>
      <c r="AGY23" s="582"/>
      <c r="AGZ23" s="582"/>
      <c r="AHA23" s="582"/>
      <c r="AHB23" s="582"/>
      <c r="AHC23" s="582"/>
      <c r="AHD23" s="582"/>
      <c r="AHE23" s="582"/>
      <c r="AHF23" s="582"/>
      <c r="AHG23" s="582"/>
      <c r="AHH23" s="582"/>
      <c r="AHI23" s="582"/>
      <c r="AHJ23" s="582"/>
      <c r="AHK23" s="582"/>
      <c r="AHL23" s="582"/>
      <c r="AHM23" s="582"/>
      <c r="AHN23" s="582"/>
      <c r="AHO23" s="582"/>
      <c r="AHP23" s="582"/>
      <c r="AHQ23" s="582"/>
      <c r="AHR23" s="582"/>
      <c r="AHS23" s="582"/>
      <c r="AHT23" s="582"/>
      <c r="AHU23" s="582"/>
      <c r="AHV23" s="582"/>
      <c r="AHW23" s="582"/>
      <c r="AHX23" s="582"/>
      <c r="AHY23" s="582"/>
      <c r="AHZ23" s="582"/>
      <c r="AIA23" s="582"/>
      <c r="AIB23" s="582"/>
      <c r="AIC23" s="582"/>
      <c r="AID23" s="582"/>
      <c r="AIE23" s="582"/>
      <c r="AIF23" s="582"/>
      <c r="AIG23" s="582"/>
      <c r="AIH23" s="582"/>
      <c r="AII23" s="582"/>
      <c r="AIJ23" s="582"/>
      <c r="AIK23" s="582"/>
      <c r="AIL23" s="582"/>
      <c r="AIM23" s="582"/>
      <c r="AIN23" s="582"/>
      <c r="AIO23" s="582"/>
      <c r="AIP23" s="582"/>
      <c r="AIQ23" s="582"/>
      <c r="AIR23" s="582"/>
      <c r="AIS23" s="582"/>
      <c r="AIT23" s="582"/>
      <c r="AIU23" s="582"/>
      <c r="AIV23" s="582"/>
      <c r="AIW23" s="582"/>
      <c r="AIX23" s="582"/>
      <c r="AIY23" s="582"/>
      <c r="AIZ23" s="582"/>
      <c r="AJA23" s="582"/>
      <c r="AJB23" s="582"/>
      <c r="AJC23" s="582"/>
      <c r="AJD23" s="582"/>
      <c r="AJE23" s="582"/>
      <c r="AJF23" s="582"/>
      <c r="AJG23" s="582"/>
      <c r="AJH23" s="582"/>
      <c r="AJI23" s="582"/>
      <c r="AJJ23" s="582"/>
      <c r="AJK23" s="582"/>
      <c r="AJL23" s="582"/>
      <c r="AJM23" s="582"/>
      <c r="AJN23" s="582"/>
      <c r="AJO23" s="582"/>
      <c r="AJP23" s="582"/>
      <c r="AJQ23" s="582"/>
      <c r="AJR23" s="582"/>
      <c r="AJS23" s="582"/>
      <c r="AJT23" s="582"/>
      <c r="AJU23" s="582"/>
      <c r="AJV23" s="582"/>
      <c r="AJW23" s="582"/>
      <c r="AJX23" s="582"/>
      <c r="AJY23" s="582"/>
      <c r="AJZ23" s="582"/>
      <c r="AKA23" s="582"/>
      <c r="AKB23" s="582"/>
      <c r="AKC23" s="582"/>
      <c r="AKD23" s="582"/>
      <c r="AKE23" s="582"/>
      <c r="AKF23" s="582"/>
      <c r="AKG23" s="582"/>
      <c r="AKH23" s="582"/>
      <c r="AKI23" s="582"/>
      <c r="AKJ23" s="582"/>
      <c r="AKK23" s="582"/>
      <c r="AKL23" s="582"/>
      <c r="AKM23" s="582"/>
      <c r="AKN23" s="582"/>
      <c r="AKO23" s="582"/>
      <c r="AKP23" s="582"/>
      <c r="AKQ23" s="582"/>
      <c r="AKR23" s="582"/>
      <c r="AKS23" s="582"/>
      <c r="AKT23" s="582"/>
      <c r="AKU23" s="582"/>
      <c r="AKV23" s="582"/>
      <c r="AKW23" s="582"/>
      <c r="AKX23" s="582"/>
      <c r="AKY23" s="582"/>
      <c r="AKZ23" s="582"/>
      <c r="ALA23" s="582"/>
      <c r="ALB23" s="582"/>
      <c r="ALC23" s="582"/>
      <c r="ALD23" s="582"/>
      <c r="ALE23" s="582"/>
      <c r="ALF23" s="582"/>
      <c r="ALG23" s="582"/>
      <c r="ALH23" s="582"/>
      <c r="ALI23" s="582"/>
      <c r="ALJ23" s="582"/>
      <c r="ALK23" s="582"/>
      <c r="ALL23" s="582"/>
      <c r="ALM23" s="582"/>
      <c r="ALN23" s="582"/>
      <c r="ALO23" s="582"/>
      <c r="ALP23" s="582"/>
      <c r="ALQ23" s="582"/>
      <c r="ALR23" s="582"/>
      <c r="ALS23" s="582"/>
      <c r="ALT23" s="582"/>
      <c r="ALU23" s="582"/>
      <c r="ALV23" s="582"/>
      <c r="ALW23" s="582"/>
      <c r="ALX23" s="582"/>
      <c r="ALY23" s="582"/>
      <c r="ALZ23" s="582"/>
      <c r="AMA23" s="582"/>
      <c r="AMB23" s="582"/>
      <c r="AMC23" s="582"/>
      <c r="AMD23" s="582"/>
      <c r="AME23" s="582"/>
      <c r="AMF23" s="582"/>
      <c r="AMG23" s="582"/>
      <c r="AMH23" s="582"/>
      <c r="AMI23" s="582"/>
      <c r="AMJ23" s="582"/>
      <c r="AMK23" s="582"/>
      <c r="AML23" s="582"/>
      <c r="AMM23" s="582"/>
      <c r="AMN23" s="582"/>
      <c r="AMO23" s="582"/>
      <c r="AMP23" s="582"/>
      <c r="AMQ23" s="582"/>
      <c r="AMR23" s="582"/>
      <c r="AMS23" s="582"/>
      <c r="AMT23" s="582"/>
      <c r="AMU23" s="582"/>
      <c r="AMV23" s="582"/>
      <c r="AMW23" s="582"/>
      <c r="AMX23" s="582"/>
      <c r="AMY23" s="582"/>
      <c r="AMZ23" s="582"/>
      <c r="ANA23" s="582"/>
      <c r="ANB23" s="582"/>
      <c r="ANC23" s="582"/>
      <c r="AND23" s="582"/>
      <c r="ANE23" s="582"/>
      <c r="ANF23" s="582"/>
      <c r="ANG23" s="582"/>
      <c r="ANH23" s="582"/>
      <c r="ANI23" s="582"/>
      <c r="ANJ23" s="582"/>
      <c r="ANK23" s="582"/>
      <c r="ANL23" s="582"/>
      <c r="ANM23" s="582"/>
      <c r="ANN23" s="582"/>
      <c r="ANO23" s="582"/>
      <c r="ANP23" s="582"/>
      <c r="ANQ23" s="582"/>
      <c r="ANR23" s="582"/>
      <c r="ANS23" s="582"/>
      <c r="ANT23" s="582"/>
      <c r="ANU23" s="582"/>
      <c r="ANV23" s="582"/>
      <c r="ANW23" s="582"/>
      <c r="ANX23" s="582"/>
      <c r="ANY23" s="582"/>
      <c r="ANZ23" s="582"/>
      <c r="AOA23" s="582"/>
      <c r="AOB23" s="582"/>
      <c r="AOC23" s="582"/>
      <c r="AOD23" s="582"/>
      <c r="AOE23" s="582"/>
      <c r="AOF23" s="582"/>
      <c r="AOG23" s="582"/>
      <c r="AOH23" s="582"/>
      <c r="AOI23" s="582"/>
      <c r="AOJ23" s="582"/>
      <c r="AOK23" s="582"/>
      <c r="AOL23" s="582"/>
      <c r="AOM23" s="582"/>
      <c r="AON23" s="582"/>
      <c r="AOO23" s="582"/>
      <c r="AOP23" s="582"/>
      <c r="AOQ23" s="582"/>
      <c r="AOR23" s="582"/>
      <c r="AOS23" s="582"/>
      <c r="AOT23" s="582"/>
      <c r="AOU23" s="582"/>
      <c r="AOV23" s="582"/>
      <c r="AOW23" s="582"/>
      <c r="AOX23" s="582"/>
      <c r="AOY23" s="582"/>
      <c r="AOZ23" s="582"/>
      <c r="APA23" s="582"/>
      <c r="APB23" s="582"/>
      <c r="APC23" s="582"/>
      <c r="APD23" s="582"/>
      <c r="APE23" s="582"/>
      <c r="APF23" s="582"/>
      <c r="APG23" s="582"/>
      <c r="APH23" s="582"/>
      <c r="API23" s="582"/>
      <c r="APJ23" s="582"/>
      <c r="APK23" s="582"/>
      <c r="APL23" s="582"/>
      <c r="APM23" s="582"/>
      <c r="APN23" s="582"/>
      <c r="APO23" s="582"/>
      <c r="APP23" s="582"/>
      <c r="APQ23" s="582"/>
      <c r="APR23" s="582"/>
      <c r="APS23" s="582"/>
      <c r="APT23" s="582"/>
      <c r="APU23" s="582"/>
      <c r="APV23" s="582"/>
      <c r="APW23" s="582"/>
      <c r="APX23" s="582"/>
      <c r="APY23" s="582"/>
      <c r="APZ23" s="582"/>
      <c r="AQA23" s="582"/>
      <c r="AQB23" s="582"/>
      <c r="AQC23" s="582"/>
      <c r="AQD23" s="582"/>
      <c r="AQE23" s="582"/>
      <c r="AQF23" s="582"/>
      <c r="AQG23" s="582"/>
      <c r="AQH23" s="582"/>
      <c r="AQI23" s="582"/>
      <c r="AQJ23" s="582"/>
      <c r="AQK23" s="582"/>
      <c r="AQL23" s="582"/>
      <c r="AQM23" s="582"/>
      <c r="AQN23" s="582"/>
      <c r="AQO23" s="582"/>
      <c r="AQP23" s="582"/>
      <c r="AQQ23" s="582"/>
      <c r="AQR23" s="582"/>
      <c r="AQS23" s="582"/>
      <c r="AQT23" s="582"/>
      <c r="AQU23" s="582"/>
      <c r="AQV23" s="582"/>
      <c r="AQW23" s="582"/>
      <c r="AQX23" s="582"/>
      <c r="AQY23" s="582"/>
      <c r="AQZ23" s="582"/>
      <c r="ARA23" s="582"/>
      <c r="ARB23" s="582"/>
      <c r="ARC23" s="582"/>
      <c r="ARD23" s="582"/>
      <c r="ARE23" s="582"/>
      <c r="ARF23" s="582"/>
      <c r="ARG23" s="582"/>
      <c r="ARH23" s="582"/>
      <c r="ARI23" s="582"/>
      <c r="ARJ23" s="582"/>
      <c r="ARK23" s="582"/>
      <c r="ARL23" s="582"/>
      <c r="ARM23" s="582"/>
      <c r="ARN23" s="582"/>
      <c r="ARO23" s="582"/>
      <c r="ARP23" s="582"/>
      <c r="ARQ23" s="582"/>
      <c r="ARR23" s="582"/>
      <c r="ARS23" s="582"/>
      <c r="ART23" s="582"/>
      <c r="ARU23" s="582"/>
      <c r="ARV23" s="582"/>
      <c r="ARW23" s="582"/>
      <c r="ARX23" s="582"/>
      <c r="ARY23" s="582"/>
      <c r="ARZ23" s="582"/>
      <c r="ASA23" s="582"/>
      <c r="ASB23" s="582"/>
      <c r="ASC23" s="582"/>
      <c r="ASD23" s="582"/>
      <c r="ASE23" s="582"/>
      <c r="ASF23" s="582"/>
      <c r="ASG23" s="582"/>
      <c r="ASH23" s="582"/>
      <c r="ASI23" s="582"/>
      <c r="ASJ23" s="582"/>
      <c r="ASK23" s="582"/>
      <c r="ASL23" s="582"/>
      <c r="ASM23" s="582"/>
      <c r="ASN23" s="582"/>
      <c r="ASO23" s="582"/>
      <c r="ASP23" s="582"/>
      <c r="ASQ23" s="582"/>
      <c r="ASR23" s="582"/>
      <c r="ASS23" s="582"/>
      <c r="AST23" s="582"/>
      <c r="ASU23" s="582"/>
      <c r="ASV23" s="582"/>
      <c r="ASW23" s="582"/>
      <c r="ASX23" s="582"/>
      <c r="ASY23" s="582"/>
      <c r="ASZ23" s="582"/>
      <c r="ATA23" s="582"/>
      <c r="ATB23" s="582"/>
      <c r="ATC23" s="582"/>
      <c r="ATD23" s="582"/>
      <c r="ATE23" s="582"/>
      <c r="ATF23" s="582"/>
      <c r="ATG23" s="582"/>
      <c r="ATH23" s="582"/>
      <c r="ATI23" s="582"/>
      <c r="ATJ23" s="582"/>
      <c r="ATK23" s="582"/>
      <c r="ATL23" s="582"/>
      <c r="ATM23" s="582"/>
      <c r="ATN23" s="582"/>
      <c r="ATO23" s="582"/>
      <c r="ATP23" s="582"/>
      <c r="ATQ23" s="582"/>
      <c r="ATR23" s="582"/>
      <c r="ATS23" s="582"/>
      <c r="ATT23" s="582"/>
      <c r="ATU23" s="582"/>
      <c r="ATV23" s="582"/>
      <c r="ATW23" s="582"/>
      <c r="ATX23" s="582"/>
      <c r="ATY23" s="582"/>
      <c r="ATZ23" s="582"/>
      <c r="AUA23" s="582"/>
      <c r="AUB23" s="582"/>
      <c r="AUC23" s="582"/>
      <c r="AUD23" s="582"/>
      <c r="AUE23" s="582"/>
      <c r="AUF23" s="582"/>
      <c r="AUG23" s="582"/>
      <c r="AUH23" s="582"/>
      <c r="AUI23" s="582"/>
      <c r="AUJ23" s="582"/>
      <c r="AUK23" s="582"/>
      <c r="AUL23" s="582"/>
      <c r="AUM23" s="582"/>
      <c r="AUN23" s="582"/>
      <c r="AUO23" s="582"/>
      <c r="AUP23" s="582"/>
      <c r="AUQ23" s="582"/>
      <c r="AUR23" s="582"/>
      <c r="AUS23" s="582"/>
      <c r="AUT23" s="582"/>
      <c r="AUU23" s="582"/>
      <c r="AUV23" s="582"/>
      <c r="AUW23" s="582"/>
      <c r="AUX23" s="582"/>
      <c r="AUY23" s="582"/>
      <c r="AUZ23" s="582"/>
      <c r="AVA23" s="582"/>
      <c r="AVB23" s="582"/>
      <c r="AVC23" s="582"/>
      <c r="AVD23" s="582"/>
      <c r="AVE23" s="582"/>
      <c r="AVF23" s="582"/>
      <c r="AVG23" s="582"/>
      <c r="AVH23" s="582"/>
      <c r="AVI23" s="582"/>
      <c r="AVJ23" s="582"/>
      <c r="AVK23" s="582"/>
      <c r="AVL23" s="582"/>
      <c r="AVM23" s="582"/>
      <c r="AVN23" s="582"/>
      <c r="AVO23" s="582"/>
      <c r="AVP23" s="582"/>
      <c r="AVQ23" s="582"/>
      <c r="AVR23" s="582"/>
      <c r="AVS23" s="582"/>
      <c r="AVT23" s="582"/>
      <c r="AVU23" s="582"/>
      <c r="AVV23" s="582"/>
      <c r="AVW23" s="582"/>
      <c r="AVX23" s="582"/>
      <c r="AVY23" s="582"/>
      <c r="AVZ23" s="582"/>
      <c r="AWA23" s="582"/>
      <c r="AWB23" s="582"/>
      <c r="AWC23" s="582"/>
      <c r="AWD23" s="582"/>
      <c r="AWE23" s="582"/>
      <c r="AWF23" s="582"/>
      <c r="AWG23" s="582"/>
      <c r="AWH23" s="582"/>
      <c r="AWI23" s="582"/>
      <c r="AWJ23" s="582"/>
      <c r="AWK23" s="582"/>
      <c r="AWL23" s="582"/>
      <c r="AWM23" s="582"/>
      <c r="AWN23" s="582"/>
      <c r="AWO23" s="582"/>
      <c r="AWP23" s="582"/>
      <c r="AWQ23" s="582"/>
      <c r="AWR23" s="582"/>
      <c r="AWS23" s="582"/>
      <c r="AWT23" s="582"/>
      <c r="AWU23" s="582"/>
      <c r="AWV23" s="582"/>
      <c r="AWW23" s="582"/>
      <c r="AWX23" s="582"/>
      <c r="AWY23" s="582"/>
      <c r="AWZ23" s="582"/>
      <c r="AXA23" s="582"/>
      <c r="AXB23" s="582"/>
      <c r="AXC23" s="582"/>
      <c r="AXD23" s="582"/>
      <c r="AXE23" s="582"/>
      <c r="AXF23" s="582"/>
      <c r="AXG23" s="582"/>
      <c r="AXH23" s="582"/>
      <c r="AXI23" s="582"/>
      <c r="AXJ23" s="582"/>
      <c r="AXK23" s="582"/>
      <c r="AXL23" s="582"/>
      <c r="AXM23" s="582"/>
      <c r="AXN23" s="582"/>
      <c r="AXO23" s="582"/>
      <c r="AXP23" s="582"/>
      <c r="AXQ23" s="582"/>
      <c r="AXR23" s="582"/>
      <c r="AXS23" s="582"/>
      <c r="AXT23" s="582"/>
      <c r="AXU23" s="582"/>
      <c r="AXV23" s="582"/>
      <c r="AXW23" s="582"/>
      <c r="AXX23" s="582"/>
      <c r="AXY23" s="582"/>
      <c r="AXZ23" s="582"/>
      <c r="AYA23" s="582"/>
      <c r="AYB23" s="582"/>
      <c r="AYC23" s="582"/>
      <c r="AYD23" s="582"/>
      <c r="AYE23" s="582"/>
      <c r="AYF23" s="582"/>
      <c r="AYG23" s="582"/>
      <c r="AYH23" s="582"/>
      <c r="AYI23" s="582"/>
      <c r="AYJ23" s="582"/>
      <c r="AYK23" s="582"/>
      <c r="AYL23" s="582"/>
      <c r="AYM23" s="582"/>
      <c r="AYN23" s="582"/>
      <c r="AYO23" s="582"/>
      <c r="AYP23" s="582"/>
      <c r="AYQ23" s="582"/>
      <c r="AYR23" s="582"/>
      <c r="AYS23" s="582"/>
      <c r="AYT23" s="582"/>
      <c r="AYU23" s="582"/>
      <c r="AYV23" s="582"/>
      <c r="AYW23" s="582"/>
      <c r="AYX23" s="582"/>
      <c r="AYY23" s="582"/>
      <c r="AYZ23" s="582"/>
      <c r="AZA23" s="582"/>
      <c r="AZB23" s="582"/>
      <c r="AZC23" s="582"/>
      <c r="AZD23" s="582"/>
      <c r="AZE23" s="582"/>
      <c r="AZF23" s="582"/>
      <c r="AZG23" s="582"/>
      <c r="AZH23" s="582"/>
      <c r="AZI23" s="582"/>
      <c r="AZJ23" s="582"/>
      <c r="AZK23" s="582"/>
      <c r="AZL23" s="582"/>
      <c r="AZM23" s="582"/>
      <c r="AZN23" s="582"/>
      <c r="AZO23" s="582"/>
      <c r="AZP23" s="582"/>
      <c r="AZQ23" s="582"/>
      <c r="AZR23" s="582"/>
      <c r="AZS23" s="582"/>
      <c r="AZT23" s="582"/>
      <c r="AZU23" s="582"/>
      <c r="AZV23" s="582"/>
      <c r="AZW23" s="582"/>
      <c r="AZX23" s="582"/>
      <c r="AZY23" s="582"/>
      <c r="AZZ23" s="582"/>
      <c r="BAA23" s="582"/>
      <c r="BAB23" s="582"/>
      <c r="BAC23" s="582"/>
      <c r="BAD23" s="582"/>
      <c r="BAE23" s="582"/>
      <c r="BAF23" s="582"/>
      <c r="BAG23" s="582"/>
      <c r="BAH23" s="582"/>
      <c r="BAI23" s="582"/>
      <c r="BAJ23" s="582"/>
      <c r="BAK23" s="582"/>
      <c r="BAL23" s="582"/>
      <c r="BAM23" s="582"/>
      <c r="BAN23" s="582"/>
      <c r="BAO23" s="582"/>
      <c r="BAP23" s="582"/>
      <c r="BAQ23" s="582"/>
      <c r="BAR23" s="582"/>
      <c r="BAS23" s="582"/>
      <c r="BAT23" s="582"/>
      <c r="BAU23" s="582"/>
      <c r="BAV23" s="582"/>
      <c r="BAW23" s="582"/>
      <c r="BAX23" s="582"/>
      <c r="BAY23" s="582"/>
      <c r="BAZ23" s="582"/>
      <c r="BBA23" s="582"/>
      <c r="BBB23" s="582"/>
      <c r="BBC23" s="582"/>
      <c r="BBD23" s="582"/>
      <c r="BBE23" s="582"/>
      <c r="BBF23" s="582"/>
      <c r="BBG23" s="582"/>
      <c r="BBH23" s="582"/>
      <c r="BBI23" s="582"/>
      <c r="BBJ23" s="582"/>
      <c r="BBK23" s="582"/>
      <c r="BBL23" s="582"/>
      <c r="BBM23" s="582"/>
      <c r="BBN23" s="582"/>
      <c r="BBO23" s="582"/>
      <c r="BBP23" s="582"/>
      <c r="BBQ23" s="582"/>
      <c r="BBR23" s="582"/>
      <c r="BBS23" s="582"/>
      <c r="BBT23" s="582"/>
      <c r="BBU23" s="582"/>
      <c r="BBV23" s="582"/>
      <c r="BBW23" s="582"/>
      <c r="BBX23" s="582"/>
      <c r="BBY23" s="582"/>
      <c r="BBZ23" s="582"/>
      <c r="BCA23" s="582"/>
      <c r="BCB23" s="582"/>
      <c r="BCC23" s="582"/>
      <c r="BCD23" s="582"/>
      <c r="BCE23" s="582"/>
      <c r="BCF23" s="582"/>
      <c r="BCG23" s="582"/>
      <c r="BCH23" s="582"/>
      <c r="BCI23" s="582"/>
      <c r="BCJ23" s="582"/>
      <c r="BCK23" s="582"/>
      <c r="BCL23" s="582"/>
      <c r="BCM23" s="582"/>
      <c r="BCN23" s="582"/>
      <c r="BCO23" s="582"/>
      <c r="BCP23" s="582"/>
      <c r="BCQ23" s="582"/>
      <c r="BCR23" s="582"/>
      <c r="BCS23" s="582"/>
      <c r="BCT23" s="582"/>
      <c r="BCU23" s="582"/>
      <c r="BCV23" s="582"/>
      <c r="BCW23" s="582"/>
      <c r="BCX23" s="582"/>
      <c r="BCY23" s="582"/>
      <c r="BCZ23" s="582"/>
      <c r="BDA23" s="582"/>
      <c r="BDB23" s="582"/>
      <c r="BDC23" s="582"/>
      <c r="BDD23" s="582"/>
      <c r="BDE23" s="582"/>
      <c r="BDF23" s="582"/>
      <c r="BDG23" s="582"/>
      <c r="BDH23" s="582"/>
      <c r="BDI23" s="582"/>
      <c r="BDJ23" s="582"/>
      <c r="BDK23" s="582"/>
      <c r="BDL23" s="582"/>
      <c r="BDM23" s="582"/>
      <c r="BDN23" s="582"/>
      <c r="BDO23" s="582"/>
      <c r="BDP23" s="582"/>
      <c r="BDQ23" s="582"/>
      <c r="BDR23" s="582"/>
      <c r="BDS23" s="582"/>
      <c r="BDT23" s="582"/>
      <c r="BDU23" s="582"/>
      <c r="BDV23" s="582"/>
      <c r="BDW23" s="582"/>
      <c r="BDX23" s="582"/>
      <c r="BDY23" s="582"/>
      <c r="BDZ23" s="582"/>
      <c r="BEA23" s="582"/>
      <c r="BEB23" s="582"/>
      <c r="BEC23" s="582"/>
      <c r="BED23" s="582"/>
      <c r="BEE23" s="582"/>
      <c r="BEF23" s="582"/>
      <c r="BEG23" s="582"/>
      <c r="BEH23" s="582"/>
      <c r="BEI23" s="582"/>
      <c r="BEJ23" s="582"/>
      <c r="BEK23" s="582"/>
      <c r="BEL23" s="582"/>
      <c r="BEM23" s="582"/>
      <c r="BEN23" s="582"/>
      <c r="BEO23" s="582"/>
      <c r="BEP23" s="582"/>
      <c r="BEQ23" s="582"/>
      <c r="BER23" s="582"/>
      <c r="BES23" s="582"/>
      <c r="BET23" s="582"/>
      <c r="BEU23" s="582"/>
      <c r="BEV23" s="582"/>
      <c r="BEW23" s="582"/>
      <c r="BEX23" s="582"/>
      <c r="BEY23" s="582"/>
      <c r="BEZ23" s="582"/>
      <c r="BFA23" s="582"/>
      <c r="BFB23" s="582"/>
      <c r="BFC23" s="582"/>
      <c r="BFD23" s="582"/>
      <c r="BFE23" s="582"/>
      <c r="BFF23" s="582"/>
      <c r="BFG23" s="582"/>
      <c r="BFH23" s="582"/>
      <c r="BFI23" s="582"/>
      <c r="BFJ23" s="582"/>
      <c r="BFK23" s="582"/>
      <c r="BFL23" s="582"/>
      <c r="BFM23" s="582"/>
      <c r="BFN23" s="582"/>
      <c r="BFO23" s="582"/>
      <c r="BFP23" s="582"/>
      <c r="BFQ23" s="582"/>
      <c r="BFR23" s="582"/>
      <c r="BFS23" s="582"/>
      <c r="BFT23" s="582"/>
      <c r="BFU23" s="582"/>
      <c r="BFV23" s="582"/>
      <c r="BFW23" s="582"/>
      <c r="BFX23" s="582"/>
      <c r="BFY23" s="582"/>
      <c r="BFZ23" s="582"/>
      <c r="BGA23" s="582"/>
      <c r="BGB23" s="582"/>
      <c r="BGC23" s="582"/>
      <c r="BGD23" s="582"/>
      <c r="BGE23" s="582"/>
      <c r="BGF23" s="582"/>
      <c r="BGG23" s="582"/>
      <c r="BGH23" s="582"/>
      <c r="BGI23" s="582"/>
      <c r="BGJ23" s="582"/>
      <c r="BGK23" s="582"/>
      <c r="BGL23" s="582"/>
      <c r="BGM23" s="582"/>
      <c r="BGN23" s="582"/>
      <c r="BGO23" s="582"/>
      <c r="BGP23" s="582"/>
      <c r="BGQ23" s="582"/>
      <c r="BGR23" s="582"/>
      <c r="BGS23" s="582"/>
      <c r="BGT23" s="582"/>
      <c r="BGU23" s="582"/>
      <c r="BGV23" s="582"/>
      <c r="BGW23" s="582"/>
      <c r="BGX23" s="582"/>
      <c r="BGY23" s="582"/>
      <c r="BGZ23" s="582"/>
      <c r="BHA23" s="582"/>
      <c r="BHB23" s="582"/>
      <c r="BHC23" s="582"/>
      <c r="BHD23" s="582"/>
      <c r="BHE23" s="582"/>
      <c r="BHF23" s="582"/>
      <c r="BHG23" s="582"/>
      <c r="BHH23" s="582"/>
      <c r="BHI23" s="582"/>
      <c r="BHJ23" s="582"/>
      <c r="BHK23" s="582"/>
      <c r="BHL23" s="582"/>
      <c r="BHM23" s="582"/>
      <c r="BHN23" s="582"/>
      <c r="BHO23" s="582"/>
      <c r="BHP23" s="582"/>
      <c r="BHQ23" s="582"/>
      <c r="BHR23" s="582"/>
      <c r="BHS23" s="582"/>
      <c r="BHT23" s="582"/>
      <c r="BHU23" s="582"/>
      <c r="BHV23" s="582"/>
      <c r="BHW23" s="582"/>
      <c r="BHX23" s="582"/>
      <c r="BHY23" s="582"/>
      <c r="BHZ23" s="582"/>
      <c r="BIA23" s="582"/>
      <c r="BIB23" s="582"/>
      <c r="BIC23" s="582"/>
      <c r="BID23" s="582"/>
      <c r="BIE23" s="582"/>
      <c r="BIF23" s="582"/>
      <c r="BIG23" s="582"/>
      <c r="BIH23" s="582"/>
      <c r="BII23" s="582"/>
      <c r="BIJ23" s="582"/>
      <c r="BIK23" s="582"/>
      <c r="BIL23" s="582"/>
      <c r="BIM23" s="582"/>
      <c r="BIN23" s="582"/>
      <c r="BIO23" s="582"/>
      <c r="BIP23" s="582"/>
      <c r="BIQ23" s="582"/>
      <c r="BIR23" s="582"/>
      <c r="BIS23" s="582"/>
      <c r="BIT23" s="582"/>
      <c r="BIU23" s="582"/>
      <c r="BIV23" s="582"/>
      <c r="BIW23" s="582"/>
      <c r="BIX23" s="582"/>
      <c r="BIY23" s="582"/>
      <c r="BIZ23" s="582"/>
      <c r="BJA23" s="582"/>
      <c r="BJB23" s="582"/>
      <c r="BJC23" s="582"/>
      <c r="BJD23" s="582"/>
      <c r="BJE23" s="582"/>
      <c r="BJF23" s="582"/>
      <c r="BJG23" s="582"/>
      <c r="BJH23" s="582"/>
      <c r="BJI23" s="582"/>
      <c r="BJJ23" s="582"/>
      <c r="BJK23" s="582"/>
      <c r="BJL23" s="582"/>
      <c r="BJM23" s="582"/>
      <c r="BJN23" s="582"/>
      <c r="BJO23" s="582"/>
      <c r="BJP23" s="582"/>
      <c r="BJQ23" s="582"/>
      <c r="BJR23" s="582"/>
      <c r="BJS23" s="582"/>
      <c r="BJT23" s="582"/>
      <c r="BJU23" s="582"/>
      <c r="BJV23" s="582"/>
      <c r="BJW23" s="582"/>
      <c r="BJX23" s="582"/>
      <c r="BJY23" s="582"/>
      <c r="BJZ23" s="582"/>
      <c r="BKA23" s="582"/>
      <c r="BKB23" s="582"/>
      <c r="BKC23" s="582"/>
      <c r="BKD23" s="582"/>
      <c r="BKE23" s="582"/>
      <c r="BKF23" s="582"/>
      <c r="BKG23" s="582"/>
      <c r="BKH23" s="582"/>
      <c r="BKI23" s="582"/>
      <c r="BKJ23" s="582"/>
      <c r="BKK23" s="582"/>
      <c r="BKL23" s="582"/>
      <c r="BKM23" s="582"/>
      <c r="BKN23" s="582"/>
      <c r="BKO23" s="582"/>
      <c r="BKP23" s="582"/>
      <c r="BKQ23" s="582"/>
      <c r="BKR23" s="582"/>
      <c r="BKS23" s="582"/>
      <c r="BKT23" s="582"/>
      <c r="BKU23" s="582"/>
      <c r="BKV23" s="582"/>
      <c r="BKW23" s="582"/>
      <c r="BKX23" s="582"/>
      <c r="BKY23" s="582"/>
      <c r="BKZ23" s="582"/>
      <c r="BLA23" s="582"/>
      <c r="BLB23" s="582"/>
      <c r="BLC23" s="582"/>
      <c r="BLD23" s="582"/>
      <c r="BLE23" s="582"/>
      <c r="BLF23" s="582"/>
      <c r="BLG23" s="582"/>
      <c r="BLH23" s="582"/>
      <c r="BLI23" s="582"/>
      <c r="BLJ23" s="582"/>
      <c r="BLK23" s="582"/>
      <c r="BLL23" s="582"/>
      <c r="BLM23" s="582"/>
      <c r="BLN23" s="582"/>
      <c r="BLO23" s="582"/>
      <c r="BLP23" s="582"/>
      <c r="BLQ23" s="582"/>
      <c r="BLR23" s="582"/>
      <c r="BLS23" s="582"/>
      <c r="BLT23" s="582"/>
      <c r="BLU23" s="582"/>
      <c r="BLV23" s="582"/>
      <c r="BLW23" s="582"/>
      <c r="BLX23" s="582"/>
      <c r="BLY23" s="582"/>
      <c r="BLZ23" s="582"/>
      <c r="BMA23" s="582"/>
      <c r="BMB23" s="582"/>
      <c r="BMC23" s="582"/>
      <c r="BMD23" s="582"/>
      <c r="BME23" s="582"/>
      <c r="BMF23" s="582"/>
      <c r="BMG23" s="582"/>
      <c r="BMH23" s="582"/>
      <c r="BMI23" s="582"/>
      <c r="BMJ23" s="582"/>
      <c r="BMK23" s="582"/>
      <c r="BML23" s="582"/>
      <c r="BMM23" s="582"/>
      <c r="BMN23" s="582"/>
      <c r="BMO23" s="582"/>
      <c r="BMP23" s="582"/>
      <c r="BMQ23" s="582"/>
      <c r="BMR23" s="582"/>
      <c r="BMS23" s="582"/>
      <c r="BMT23" s="582"/>
      <c r="BMU23" s="582"/>
      <c r="BMV23" s="582"/>
      <c r="BMW23" s="582"/>
      <c r="BMX23" s="582"/>
      <c r="BMY23" s="582"/>
      <c r="BMZ23" s="582"/>
      <c r="BNA23" s="582"/>
      <c r="BNB23" s="582"/>
      <c r="BNC23" s="582"/>
      <c r="BND23" s="582"/>
      <c r="BNE23" s="582"/>
      <c r="BNF23" s="582"/>
      <c r="BNG23" s="582"/>
      <c r="BNH23" s="582"/>
      <c r="BNI23" s="582"/>
      <c r="BNJ23" s="582"/>
      <c r="BNK23" s="582"/>
      <c r="BNL23" s="582"/>
      <c r="BNM23" s="582"/>
      <c r="BNN23" s="582"/>
      <c r="BNO23" s="582"/>
      <c r="BNP23" s="582"/>
      <c r="BNQ23" s="582"/>
      <c r="BNR23" s="582"/>
      <c r="BNS23" s="582"/>
      <c r="BNT23" s="582"/>
      <c r="BNU23" s="582"/>
      <c r="BNV23" s="582"/>
      <c r="BNW23" s="582"/>
      <c r="BNX23" s="582"/>
      <c r="BNY23" s="582"/>
      <c r="BNZ23" s="582"/>
      <c r="BOA23" s="582"/>
      <c r="BOB23" s="582"/>
      <c r="BOC23" s="582"/>
      <c r="BOD23" s="582"/>
      <c r="BOE23" s="582"/>
      <c r="BOF23" s="582"/>
      <c r="BOG23" s="582"/>
      <c r="BOH23" s="582"/>
      <c r="BOI23" s="582"/>
      <c r="BOJ23" s="582"/>
      <c r="BOK23" s="582"/>
      <c r="BOL23" s="582"/>
      <c r="BOM23" s="582"/>
      <c r="BON23" s="582"/>
      <c r="BOO23" s="582"/>
      <c r="BOP23" s="582"/>
      <c r="BOQ23" s="582"/>
      <c r="BOR23" s="582"/>
      <c r="BOS23" s="582"/>
      <c r="BOT23" s="582"/>
      <c r="BOU23" s="582"/>
      <c r="BOV23" s="582"/>
      <c r="BOW23" s="582"/>
      <c r="BOX23" s="582"/>
      <c r="BOY23" s="582"/>
      <c r="BOZ23" s="582"/>
      <c r="BPA23" s="582"/>
      <c r="BPB23" s="582"/>
      <c r="BPC23" s="582"/>
      <c r="BPD23" s="582"/>
      <c r="BPE23" s="582"/>
      <c r="BPF23" s="582"/>
      <c r="BPG23" s="582"/>
      <c r="BPH23" s="582"/>
      <c r="BPI23" s="582"/>
      <c r="BPJ23" s="582"/>
      <c r="BPK23" s="582"/>
      <c r="BPL23" s="582"/>
      <c r="BPM23" s="582"/>
      <c r="BPN23" s="582"/>
      <c r="BPO23" s="582"/>
      <c r="BPP23" s="582"/>
      <c r="BPQ23" s="582"/>
      <c r="BPR23" s="582"/>
      <c r="BPS23" s="582"/>
      <c r="BPT23" s="582"/>
      <c r="BPU23" s="582"/>
      <c r="BPV23" s="582"/>
      <c r="BPW23" s="582"/>
      <c r="BPX23" s="582"/>
      <c r="BPY23" s="582"/>
      <c r="BPZ23" s="582"/>
      <c r="BQA23" s="582"/>
      <c r="BQB23" s="582"/>
      <c r="BQC23" s="582"/>
      <c r="BQD23" s="582"/>
      <c r="BQE23" s="582"/>
      <c r="BQF23" s="582"/>
      <c r="BQG23" s="582"/>
      <c r="BQH23" s="582"/>
      <c r="BQI23" s="582"/>
      <c r="BQJ23" s="582"/>
      <c r="BQK23" s="582"/>
      <c r="BQL23" s="582"/>
      <c r="BQM23" s="582"/>
      <c r="BQN23" s="582"/>
      <c r="BQO23" s="582"/>
      <c r="BQP23" s="582"/>
      <c r="BQQ23" s="582"/>
      <c r="BQR23" s="582"/>
      <c r="BQS23" s="582"/>
      <c r="BQT23" s="582"/>
      <c r="BQU23" s="582"/>
      <c r="BQV23" s="582"/>
      <c r="BQW23" s="582"/>
      <c r="BQX23" s="582"/>
      <c r="BQY23" s="582"/>
      <c r="BQZ23" s="582"/>
      <c r="BRA23" s="582"/>
      <c r="BRB23" s="582"/>
      <c r="BRC23" s="582"/>
      <c r="BRD23" s="582"/>
      <c r="BRE23" s="582"/>
      <c r="BRF23" s="582"/>
      <c r="BRG23" s="582"/>
      <c r="BRH23" s="582"/>
      <c r="BRI23" s="582"/>
      <c r="BRJ23" s="582"/>
      <c r="BRK23" s="582"/>
      <c r="BRL23" s="582"/>
      <c r="BRM23" s="582"/>
      <c r="BRN23" s="582"/>
      <c r="BRO23" s="582"/>
      <c r="BRP23" s="582"/>
      <c r="BRQ23" s="582"/>
      <c r="BRR23" s="582"/>
      <c r="BRS23" s="582"/>
      <c r="BRT23" s="582"/>
      <c r="BRU23" s="582"/>
      <c r="BRV23" s="582"/>
      <c r="BRW23" s="582"/>
      <c r="BRX23" s="582"/>
      <c r="BRY23" s="582"/>
      <c r="BRZ23" s="582"/>
      <c r="BSA23" s="582"/>
      <c r="BSB23" s="582"/>
      <c r="BSC23" s="582"/>
      <c r="BSD23" s="582"/>
      <c r="BSE23" s="582"/>
      <c r="BSF23" s="582"/>
      <c r="BSG23" s="582"/>
      <c r="BSH23" s="582"/>
      <c r="BSI23" s="582"/>
      <c r="BSJ23" s="582"/>
      <c r="BSK23" s="582"/>
      <c r="BSL23" s="582"/>
      <c r="BSM23" s="582"/>
      <c r="BSN23" s="582"/>
      <c r="BSO23" s="582"/>
      <c r="BSP23" s="582"/>
      <c r="BSQ23" s="582"/>
      <c r="BSR23" s="582"/>
      <c r="BSS23" s="582"/>
      <c r="BST23" s="582"/>
      <c r="BSU23" s="582"/>
      <c r="BSV23" s="582"/>
      <c r="BSW23" s="582"/>
      <c r="BSX23" s="582"/>
      <c r="BSY23" s="582"/>
      <c r="BSZ23" s="582"/>
      <c r="BTA23" s="582"/>
      <c r="BTB23" s="582"/>
      <c r="BTC23" s="582"/>
      <c r="BTD23" s="582"/>
      <c r="BTE23" s="582"/>
      <c r="BTF23" s="582"/>
      <c r="BTG23" s="582"/>
      <c r="BTH23" s="582"/>
      <c r="BTI23" s="582"/>
      <c r="BTJ23" s="582"/>
      <c r="BTK23" s="582"/>
      <c r="BTL23" s="582"/>
      <c r="BTM23" s="582"/>
      <c r="BTN23" s="582"/>
      <c r="BTO23" s="582"/>
      <c r="BTP23" s="582"/>
      <c r="BTQ23" s="582"/>
      <c r="BTR23" s="582"/>
      <c r="BTS23" s="582"/>
      <c r="BTT23" s="582"/>
      <c r="BTU23" s="582"/>
      <c r="BTV23" s="582"/>
      <c r="BTW23" s="582"/>
      <c r="BTX23" s="582"/>
      <c r="BTY23" s="582"/>
      <c r="BTZ23" s="582"/>
      <c r="BUA23" s="582"/>
      <c r="BUB23" s="582"/>
      <c r="BUC23" s="582"/>
      <c r="BUD23" s="582"/>
      <c r="BUE23" s="582"/>
      <c r="BUF23" s="582"/>
      <c r="BUG23" s="582"/>
      <c r="BUH23" s="582"/>
      <c r="BUI23" s="582"/>
      <c r="BUJ23" s="582"/>
      <c r="BUK23" s="582"/>
      <c r="BUL23" s="582"/>
      <c r="BUM23" s="582"/>
      <c r="BUN23" s="582"/>
      <c r="BUO23" s="582"/>
      <c r="BUP23" s="582"/>
      <c r="BUQ23" s="582"/>
      <c r="BUR23" s="582"/>
      <c r="BUS23" s="582"/>
      <c r="BUT23" s="582"/>
      <c r="BUU23" s="582"/>
      <c r="BUV23" s="582"/>
      <c r="BUW23" s="582"/>
      <c r="BUX23" s="582"/>
      <c r="BUY23" s="582"/>
      <c r="BUZ23" s="582"/>
      <c r="BVA23" s="582"/>
      <c r="BVB23" s="582"/>
      <c r="BVC23" s="582"/>
      <c r="BVD23" s="582"/>
      <c r="BVE23" s="582"/>
      <c r="BVF23" s="582"/>
      <c r="BVG23" s="582"/>
      <c r="BVH23" s="582"/>
      <c r="BVI23" s="582"/>
      <c r="BVJ23" s="582"/>
      <c r="BVK23" s="582"/>
      <c r="BVL23" s="582"/>
      <c r="BVM23" s="582"/>
      <c r="BVN23" s="582"/>
      <c r="BVO23" s="582"/>
      <c r="BVP23" s="582"/>
      <c r="BVQ23" s="582"/>
      <c r="BVR23" s="582"/>
      <c r="BVS23" s="582"/>
      <c r="BVT23" s="582"/>
      <c r="BVU23" s="582"/>
      <c r="BVV23" s="582"/>
      <c r="BVW23" s="582"/>
      <c r="BVX23" s="582"/>
      <c r="BVY23" s="582"/>
      <c r="BVZ23" s="582"/>
      <c r="BWA23" s="582"/>
      <c r="BWB23" s="582"/>
      <c r="BWC23" s="582"/>
      <c r="BWD23" s="582"/>
      <c r="BWE23" s="582"/>
      <c r="BWF23" s="582"/>
      <c r="BWG23" s="582"/>
      <c r="BWH23" s="582"/>
      <c r="BWI23" s="582"/>
      <c r="BWJ23" s="582"/>
      <c r="BWK23" s="582"/>
      <c r="BWL23" s="582"/>
      <c r="BWM23" s="582"/>
      <c r="BWN23" s="582"/>
      <c r="BWO23" s="582"/>
      <c r="BWP23" s="582"/>
      <c r="BWQ23" s="582"/>
      <c r="BWR23" s="582"/>
      <c r="BWS23" s="582"/>
      <c r="BWT23" s="582"/>
      <c r="BWU23" s="582"/>
      <c r="BWV23" s="582"/>
      <c r="BWW23" s="582"/>
      <c r="BWX23" s="582"/>
      <c r="BWY23" s="582"/>
      <c r="BWZ23" s="582"/>
      <c r="BXA23" s="582"/>
      <c r="BXB23" s="582"/>
      <c r="BXC23" s="582"/>
      <c r="BXD23" s="582"/>
      <c r="BXE23" s="582"/>
      <c r="BXF23" s="582"/>
      <c r="BXG23" s="582"/>
      <c r="BXH23" s="582"/>
      <c r="BXI23" s="582"/>
      <c r="BXJ23" s="582"/>
      <c r="BXK23" s="582"/>
      <c r="BXL23" s="582"/>
      <c r="BXM23" s="582"/>
      <c r="BXN23" s="582"/>
      <c r="BXO23" s="582"/>
      <c r="BXP23" s="582"/>
      <c r="BXQ23" s="582"/>
      <c r="BXR23" s="582"/>
      <c r="BXS23" s="582"/>
      <c r="BXT23" s="582"/>
      <c r="BXU23" s="582"/>
      <c r="BXV23" s="582"/>
      <c r="BXW23" s="582"/>
      <c r="BXX23" s="582"/>
      <c r="BXY23" s="582"/>
      <c r="BXZ23" s="582"/>
      <c r="BYA23" s="582"/>
      <c r="BYB23" s="582"/>
      <c r="BYC23" s="582"/>
      <c r="BYD23" s="582"/>
      <c r="BYE23" s="582"/>
      <c r="BYF23" s="582"/>
      <c r="BYG23" s="582"/>
      <c r="BYH23" s="582"/>
      <c r="BYI23" s="582"/>
      <c r="BYJ23" s="582"/>
      <c r="BYK23" s="582"/>
      <c r="BYL23" s="582"/>
      <c r="BYM23" s="582"/>
      <c r="BYN23" s="582"/>
      <c r="BYO23" s="582"/>
      <c r="BYP23" s="582"/>
      <c r="BYQ23" s="582"/>
      <c r="BYR23" s="582"/>
      <c r="BYS23" s="582"/>
      <c r="BYT23" s="582"/>
      <c r="BYU23" s="582"/>
      <c r="BYV23" s="582"/>
      <c r="BYW23" s="582"/>
      <c r="BYX23" s="582"/>
      <c r="BYY23" s="582"/>
      <c r="BYZ23" s="582"/>
      <c r="BZA23" s="582"/>
      <c r="BZB23" s="582"/>
      <c r="BZC23" s="582"/>
      <c r="BZD23" s="582"/>
      <c r="BZE23" s="582"/>
      <c r="BZF23" s="582"/>
      <c r="BZG23" s="582"/>
      <c r="BZH23" s="582"/>
      <c r="BZI23" s="582"/>
      <c r="BZJ23" s="582"/>
      <c r="BZK23" s="582"/>
      <c r="BZL23" s="582"/>
      <c r="BZM23" s="582"/>
      <c r="BZN23" s="582"/>
      <c r="BZO23" s="582"/>
      <c r="BZP23" s="582"/>
      <c r="BZQ23" s="582"/>
      <c r="BZR23" s="582"/>
      <c r="BZS23" s="582"/>
      <c r="BZT23" s="582"/>
      <c r="BZU23" s="582"/>
      <c r="BZV23" s="582"/>
      <c r="BZW23" s="582"/>
      <c r="BZX23" s="582"/>
      <c r="BZY23" s="582"/>
      <c r="BZZ23" s="582"/>
      <c r="CAA23" s="582"/>
      <c r="CAB23" s="582"/>
      <c r="CAC23" s="582"/>
      <c r="CAD23" s="582"/>
      <c r="CAE23" s="582"/>
      <c r="CAF23" s="582"/>
      <c r="CAG23" s="582"/>
      <c r="CAH23" s="582"/>
      <c r="CAI23" s="582"/>
      <c r="CAJ23" s="582"/>
      <c r="CAK23" s="582"/>
      <c r="CAL23" s="582"/>
      <c r="CAM23" s="582"/>
      <c r="CAN23" s="582"/>
      <c r="CAO23" s="582"/>
      <c r="CAP23" s="582"/>
      <c r="CAQ23" s="582"/>
      <c r="CAR23" s="582"/>
      <c r="CAS23" s="582"/>
      <c r="CAT23" s="582"/>
      <c r="CAU23" s="582"/>
      <c r="CAV23" s="582"/>
      <c r="CAW23" s="582"/>
      <c r="CAX23" s="582"/>
      <c r="CAY23" s="582"/>
      <c r="CAZ23" s="582"/>
      <c r="CBA23" s="582"/>
      <c r="CBB23" s="582"/>
      <c r="CBC23" s="582"/>
      <c r="CBD23" s="582"/>
      <c r="CBE23" s="582"/>
      <c r="CBF23" s="582"/>
      <c r="CBG23" s="582"/>
      <c r="CBH23" s="582"/>
      <c r="CBI23" s="582"/>
      <c r="CBJ23" s="582"/>
      <c r="CBK23" s="582"/>
      <c r="CBL23" s="582"/>
      <c r="CBM23" s="582"/>
      <c r="CBN23" s="582"/>
      <c r="CBO23" s="582"/>
      <c r="CBP23" s="582"/>
      <c r="CBQ23" s="582"/>
      <c r="CBR23" s="582"/>
      <c r="CBS23" s="582"/>
      <c r="CBT23" s="582"/>
      <c r="CBU23" s="582"/>
      <c r="CBV23" s="582"/>
      <c r="CBW23" s="582"/>
      <c r="CBX23" s="582"/>
      <c r="CBY23" s="582"/>
      <c r="CBZ23" s="582"/>
      <c r="CCA23" s="582"/>
      <c r="CCB23" s="582"/>
      <c r="CCC23" s="582"/>
      <c r="CCD23" s="582"/>
      <c r="CCE23" s="582"/>
      <c r="CCF23" s="582"/>
      <c r="CCG23" s="582"/>
      <c r="CCH23" s="582"/>
      <c r="CCI23" s="582"/>
      <c r="CCJ23" s="582"/>
      <c r="CCK23" s="582"/>
      <c r="CCL23" s="582"/>
      <c r="CCM23" s="582"/>
      <c r="CCN23" s="582"/>
      <c r="CCO23" s="582"/>
      <c r="CCP23" s="582"/>
      <c r="CCQ23" s="582"/>
      <c r="CCR23" s="582"/>
      <c r="CCS23" s="582"/>
      <c r="CCT23" s="582"/>
      <c r="CCU23" s="582"/>
      <c r="CCV23" s="582"/>
      <c r="CCW23" s="582"/>
      <c r="CCX23" s="582"/>
      <c r="CCY23" s="582"/>
      <c r="CCZ23" s="582"/>
      <c r="CDA23" s="582"/>
      <c r="CDB23" s="582"/>
      <c r="CDC23" s="582"/>
      <c r="CDD23" s="582"/>
      <c r="CDE23" s="582"/>
      <c r="CDF23" s="582"/>
      <c r="CDG23" s="582"/>
      <c r="CDH23" s="582"/>
      <c r="CDI23" s="582"/>
      <c r="CDJ23" s="582"/>
      <c r="CDK23" s="582"/>
      <c r="CDL23" s="582"/>
      <c r="CDM23" s="582"/>
      <c r="CDN23" s="582"/>
      <c r="CDO23" s="582"/>
      <c r="CDP23" s="582"/>
      <c r="CDQ23" s="582"/>
      <c r="CDR23" s="582"/>
      <c r="CDS23" s="582"/>
      <c r="CDT23" s="582"/>
      <c r="CDU23" s="582"/>
      <c r="CDV23" s="582"/>
      <c r="CDW23" s="582"/>
      <c r="CDX23" s="582"/>
      <c r="CDY23" s="582"/>
      <c r="CDZ23" s="582"/>
      <c r="CEA23" s="582"/>
      <c r="CEB23" s="582"/>
      <c r="CEC23" s="582"/>
      <c r="CED23" s="582"/>
      <c r="CEE23" s="582"/>
      <c r="CEF23" s="582"/>
      <c r="CEG23" s="582"/>
      <c r="CEH23" s="582"/>
      <c r="CEI23" s="582"/>
      <c r="CEJ23" s="582"/>
      <c r="CEK23" s="582"/>
      <c r="CEL23" s="582"/>
      <c r="CEM23" s="582"/>
      <c r="CEN23" s="582"/>
      <c r="CEO23" s="582"/>
      <c r="CEP23" s="582"/>
      <c r="CEQ23" s="582"/>
      <c r="CER23" s="582"/>
      <c r="CES23" s="582"/>
      <c r="CET23" s="582"/>
      <c r="CEU23" s="582"/>
      <c r="CEV23" s="582"/>
      <c r="CEW23" s="582"/>
      <c r="CEX23" s="582"/>
      <c r="CEY23" s="582"/>
      <c r="CEZ23" s="582"/>
      <c r="CFA23" s="582"/>
      <c r="CFB23" s="582"/>
      <c r="CFC23" s="582"/>
      <c r="CFD23" s="582"/>
      <c r="CFE23" s="582"/>
      <c r="CFF23" s="582"/>
      <c r="CFG23" s="582"/>
      <c r="CFH23" s="582"/>
      <c r="CFI23" s="582"/>
      <c r="CFJ23" s="582"/>
      <c r="CFK23" s="582"/>
      <c r="CFL23" s="582"/>
      <c r="CFM23" s="582"/>
      <c r="CFN23" s="582"/>
      <c r="CFO23" s="582"/>
      <c r="CFP23" s="582"/>
      <c r="CFQ23" s="582"/>
      <c r="CFR23" s="582"/>
      <c r="CFS23" s="582"/>
      <c r="CFT23" s="582"/>
      <c r="CFU23" s="582"/>
      <c r="CFV23" s="582"/>
      <c r="CFW23" s="582"/>
      <c r="CFX23" s="582"/>
      <c r="CFY23" s="582"/>
      <c r="CFZ23" s="582"/>
      <c r="CGA23" s="582"/>
      <c r="CGB23" s="582"/>
      <c r="CGC23" s="582"/>
      <c r="CGD23" s="582"/>
      <c r="CGE23" s="582"/>
      <c r="CGF23" s="582"/>
      <c r="CGG23" s="582"/>
      <c r="CGH23" s="582"/>
      <c r="CGI23" s="582"/>
      <c r="CGJ23" s="582"/>
      <c r="CGK23" s="582"/>
      <c r="CGL23" s="582"/>
      <c r="CGM23" s="582"/>
      <c r="CGN23" s="582"/>
      <c r="CGO23" s="582"/>
      <c r="CGP23" s="582"/>
      <c r="CGQ23" s="582"/>
      <c r="CGR23" s="582"/>
      <c r="CGS23" s="582"/>
      <c r="CGT23" s="582"/>
      <c r="CGU23" s="582"/>
      <c r="CGV23" s="582"/>
      <c r="CGW23" s="582"/>
      <c r="CGX23" s="582"/>
      <c r="CGY23" s="582"/>
      <c r="CGZ23" s="582"/>
      <c r="CHA23" s="582"/>
      <c r="CHB23" s="582"/>
      <c r="CHC23" s="582"/>
      <c r="CHD23" s="582"/>
      <c r="CHE23" s="582"/>
      <c r="CHF23" s="582"/>
      <c r="CHG23" s="582"/>
      <c r="CHH23" s="582"/>
      <c r="CHI23" s="582"/>
      <c r="CHJ23" s="582"/>
      <c r="CHK23" s="582"/>
      <c r="CHL23" s="582"/>
      <c r="CHM23" s="582"/>
      <c r="CHN23" s="582"/>
      <c r="CHO23" s="582"/>
      <c r="CHP23" s="582"/>
      <c r="CHQ23" s="582"/>
      <c r="CHR23" s="582"/>
      <c r="CHS23" s="582"/>
      <c r="CHT23" s="582"/>
      <c r="CHU23" s="582"/>
      <c r="CHV23" s="582"/>
      <c r="CHW23" s="582"/>
      <c r="CHX23" s="582"/>
      <c r="CHY23" s="582"/>
      <c r="CHZ23" s="582"/>
      <c r="CIA23" s="582"/>
      <c r="CIB23" s="582"/>
      <c r="CIC23" s="582"/>
      <c r="CID23" s="582"/>
      <c r="CIE23" s="582"/>
      <c r="CIF23" s="582"/>
      <c r="CIG23" s="582"/>
      <c r="CIH23" s="582"/>
      <c r="CII23" s="582"/>
      <c r="CIJ23" s="582"/>
      <c r="CIK23" s="582"/>
      <c r="CIL23" s="582"/>
      <c r="CIM23" s="582"/>
      <c r="CIN23" s="582"/>
      <c r="CIO23" s="582"/>
      <c r="CIP23" s="582"/>
      <c r="CIQ23" s="582"/>
      <c r="CIR23" s="582"/>
      <c r="CIS23" s="582"/>
      <c r="CIT23" s="582"/>
      <c r="CIU23" s="582"/>
      <c r="CIV23" s="582"/>
      <c r="CIW23" s="582"/>
      <c r="CIX23" s="582"/>
      <c r="CIY23" s="582"/>
      <c r="CIZ23" s="582"/>
      <c r="CJA23" s="582"/>
      <c r="CJB23" s="582"/>
      <c r="CJC23" s="582"/>
      <c r="CJD23" s="582"/>
      <c r="CJE23" s="582"/>
      <c r="CJF23" s="582"/>
      <c r="CJG23" s="582"/>
      <c r="CJH23" s="582"/>
      <c r="CJI23" s="582"/>
      <c r="CJJ23" s="582"/>
      <c r="CJK23" s="582"/>
      <c r="CJL23" s="582"/>
      <c r="CJM23" s="582"/>
      <c r="CJN23" s="582"/>
      <c r="CJO23" s="582"/>
      <c r="CJP23" s="582"/>
      <c r="CJQ23" s="582"/>
      <c r="CJR23" s="582"/>
      <c r="CJS23" s="582"/>
      <c r="CJT23" s="582"/>
      <c r="CJU23" s="582"/>
      <c r="CJV23" s="582"/>
      <c r="CJW23" s="582"/>
      <c r="CJX23" s="582"/>
      <c r="CJY23" s="582"/>
      <c r="CJZ23" s="582"/>
      <c r="CKA23" s="582"/>
      <c r="CKB23" s="582"/>
      <c r="CKC23" s="582"/>
      <c r="CKD23" s="582"/>
      <c r="CKE23" s="582"/>
      <c r="CKF23" s="582"/>
      <c r="CKG23" s="582"/>
      <c r="CKH23" s="582"/>
      <c r="CKI23" s="582"/>
      <c r="CKJ23" s="582"/>
      <c r="CKK23" s="582"/>
      <c r="CKL23" s="582"/>
      <c r="CKM23" s="582"/>
      <c r="CKN23" s="582"/>
      <c r="CKO23" s="582"/>
      <c r="CKP23" s="582"/>
      <c r="CKQ23" s="582"/>
      <c r="CKR23" s="582"/>
      <c r="CKS23" s="582"/>
      <c r="CKT23" s="582"/>
      <c r="CKU23" s="582"/>
      <c r="CKV23" s="582"/>
      <c r="CKW23" s="582"/>
      <c r="CKX23" s="582"/>
      <c r="CKY23" s="582"/>
      <c r="CKZ23" s="582"/>
      <c r="CLA23" s="582"/>
      <c r="CLB23" s="582"/>
      <c r="CLC23" s="582"/>
      <c r="CLD23" s="582"/>
      <c r="CLE23" s="582"/>
      <c r="CLF23" s="582"/>
      <c r="CLG23" s="582"/>
      <c r="CLH23" s="582"/>
      <c r="CLI23" s="582"/>
      <c r="CLJ23" s="582"/>
      <c r="CLK23" s="582"/>
      <c r="CLL23" s="582"/>
      <c r="CLM23" s="582"/>
      <c r="CLN23" s="582"/>
      <c r="CLO23" s="582"/>
      <c r="CLP23" s="582"/>
      <c r="CLQ23" s="582"/>
      <c r="CLR23" s="582"/>
      <c r="CLS23" s="582"/>
      <c r="CLT23" s="582"/>
      <c r="CLU23" s="582"/>
      <c r="CLV23" s="582"/>
      <c r="CLW23" s="582"/>
      <c r="CLX23" s="582"/>
      <c r="CLY23" s="582"/>
      <c r="CLZ23" s="582"/>
      <c r="CMA23" s="582"/>
      <c r="CMB23" s="582"/>
      <c r="CMC23" s="582"/>
      <c r="CMD23" s="582"/>
      <c r="CME23" s="582"/>
      <c r="CMF23" s="582"/>
      <c r="CMG23" s="582"/>
      <c r="CMH23" s="582"/>
      <c r="CMI23" s="582"/>
      <c r="CMJ23" s="582"/>
      <c r="CMK23" s="582"/>
      <c r="CML23" s="582"/>
      <c r="CMM23" s="582"/>
      <c r="CMN23" s="582"/>
      <c r="CMO23" s="582"/>
      <c r="CMP23" s="582"/>
      <c r="CMQ23" s="582"/>
      <c r="CMR23" s="582"/>
      <c r="CMS23" s="582"/>
      <c r="CMT23" s="582"/>
      <c r="CMU23" s="582"/>
      <c r="CMV23" s="582"/>
      <c r="CMW23" s="582"/>
      <c r="CMX23" s="582"/>
      <c r="CMY23" s="582"/>
      <c r="CMZ23" s="582"/>
      <c r="CNA23" s="582"/>
      <c r="CNB23" s="582"/>
      <c r="CNC23" s="582"/>
      <c r="CND23" s="582"/>
      <c r="CNE23" s="582"/>
      <c r="CNF23" s="582"/>
      <c r="CNG23" s="582"/>
      <c r="CNH23" s="582"/>
      <c r="CNI23" s="582"/>
      <c r="CNJ23" s="582"/>
      <c r="CNK23" s="582"/>
      <c r="CNL23" s="582"/>
      <c r="CNM23" s="582"/>
      <c r="CNN23" s="582"/>
      <c r="CNO23" s="582"/>
      <c r="CNP23" s="582"/>
      <c r="CNQ23" s="582"/>
      <c r="CNR23" s="582"/>
      <c r="CNS23" s="582"/>
      <c r="CNT23" s="582"/>
      <c r="CNU23" s="582"/>
      <c r="CNV23" s="582"/>
      <c r="CNW23" s="582"/>
      <c r="CNX23" s="582"/>
      <c r="CNY23" s="582"/>
      <c r="CNZ23" s="582"/>
      <c r="COA23" s="582"/>
      <c r="COB23" s="582"/>
      <c r="COC23" s="582"/>
      <c r="COD23" s="582"/>
      <c r="COE23" s="582"/>
      <c r="COF23" s="582"/>
      <c r="COG23" s="582"/>
      <c r="COH23" s="582"/>
      <c r="COI23" s="582"/>
      <c r="COJ23" s="582"/>
      <c r="COK23" s="582"/>
      <c r="COL23" s="582"/>
      <c r="COM23" s="582"/>
      <c r="CON23" s="582"/>
      <c r="COO23" s="582"/>
      <c r="COP23" s="582"/>
      <c r="COQ23" s="582"/>
      <c r="COR23" s="582"/>
      <c r="COS23" s="582"/>
      <c r="COT23" s="582"/>
      <c r="COU23" s="582"/>
      <c r="COV23" s="582"/>
      <c r="COW23" s="582"/>
      <c r="COX23" s="582"/>
      <c r="COY23" s="582"/>
      <c r="COZ23" s="582"/>
      <c r="CPA23" s="582"/>
      <c r="CPB23" s="582"/>
      <c r="CPC23" s="582"/>
      <c r="CPD23" s="582"/>
      <c r="CPE23" s="582"/>
      <c r="CPF23" s="582"/>
      <c r="CPG23" s="582"/>
      <c r="CPH23" s="582"/>
      <c r="CPI23" s="582"/>
      <c r="CPJ23" s="582"/>
      <c r="CPK23" s="582"/>
      <c r="CPL23" s="582"/>
      <c r="CPM23" s="582"/>
      <c r="CPN23" s="582"/>
      <c r="CPO23" s="582"/>
      <c r="CPP23" s="582"/>
      <c r="CPQ23" s="582"/>
      <c r="CPR23" s="582"/>
      <c r="CPS23" s="582"/>
      <c r="CPT23" s="582"/>
      <c r="CPU23" s="582"/>
      <c r="CPV23" s="582"/>
      <c r="CPW23" s="582"/>
      <c r="CPX23" s="582"/>
      <c r="CPY23" s="582"/>
      <c r="CPZ23" s="582"/>
      <c r="CQA23" s="582"/>
      <c r="CQB23" s="582"/>
      <c r="CQC23" s="582"/>
      <c r="CQD23" s="582"/>
      <c r="CQE23" s="582"/>
      <c r="CQF23" s="582"/>
      <c r="CQG23" s="582"/>
      <c r="CQH23" s="582"/>
      <c r="CQI23" s="582"/>
      <c r="CQJ23" s="582"/>
      <c r="CQK23" s="582"/>
      <c r="CQL23" s="582"/>
      <c r="CQM23" s="582"/>
      <c r="CQN23" s="582"/>
      <c r="CQO23" s="582"/>
      <c r="CQP23" s="582"/>
      <c r="CQQ23" s="582"/>
      <c r="CQR23" s="582"/>
      <c r="CQS23" s="582"/>
      <c r="CQT23" s="582"/>
      <c r="CQU23" s="582"/>
      <c r="CQV23" s="582"/>
      <c r="CQW23" s="582"/>
      <c r="CQX23" s="582"/>
      <c r="CQY23" s="582"/>
      <c r="CQZ23" s="582"/>
      <c r="CRA23" s="582"/>
      <c r="CRB23" s="582"/>
      <c r="CRC23" s="582"/>
      <c r="CRD23" s="582"/>
      <c r="CRE23" s="582"/>
      <c r="CRF23" s="582"/>
      <c r="CRG23" s="582"/>
      <c r="CRH23" s="582"/>
      <c r="CRI23" s="582"/>
      <c r="CRJ23" s="582"/>
      <c r="CRK23" s="582"/>
      <c r="CRL23" s="582"/>
      <c r="CRM23" s="582"/>
      <c r="CRN23" s="582"/>
      <c r="CRO23" s="582"/>
      <c r="CRP23" s="582"/>
      <c r="CRQ23" s="582"/>
      <c r="CRR23" s="582"/>
      <c r="CRS23" s="582"/>
      <c r="CRT23" s="582"/>
      <c r="CRU23" s="582"/>
      <c r="CRV23" s="582"/>
      <c r="CRW23" s="582"/>
      <c r="CRX23" s="582"/>
      <c r="CRY23" s="582"/>
      <c r="CRZ23" s="582"/>
      <c r="CSA23" s="582"/>
      <c r="CSB23" s="582"/>
      <c r="CSC23" s="582"/>
      <c r="CSD23" s="582"/>
      <c r="CSE23" s="582"/>
      <c r="CSF23" s="582"/>
      <c r="CSG23" s="582"/>
      <c r="CSH23" s="582"/>
      <c r="CSI23" s="582"/>
      <c r="CSJ23" s="582"/>
      <c r="CSK23" s="582"/>
      <c r="CSL23" s="582"/>
      <c r="CSM23" s="582"/>
      <c r="CSN23" s="582"/>
      <c r="CSO23" s="582"/>
      <c r="CSP23" s="582"/>
      <c r="CSQ23" s="582"/>
      <c r="CSR23" s="582"/>
      <c r="CSS23" s="582"/>
      <c r="CST23" s="582"/>
      <c r="CSU23" s="582"/>
      <c r="CSV23" s="582"/>
      <c r="CSW23" s="582"/>
      <c r="CSX23" s="582"/>
      <c r="CSY23" s="582"/>
      <c r="CSZ23" s="582"/>
      <c r="CTA23" s="582"/>
      <c r="CTB23" s="582"/>
      <c r="CTC23" s="582"/>
      <c r="CTD23" s="582"/>
      <c r="CTE23" s="582"/>
      <c r="CTF23" s="582"/>
      <c r="CTG23" s="582"/>
      <c r="CTH23" s="582"/>
      <c r="CTI23" s="582"/>
      <c r="CTJ23" s="582"/>
      <c r="CTK23" s="582"/>
      <c r="CTL23" s="582"/>
      <c r="CTM23" s="582"/>
      <c r="CTN23" s="582"/>
      <c r="CTO23" s="582"/>
      <c r="CTP23" s="582"/>
      <c r="CTQ23" s="582"/>
      <c r="CTR23" s="582"/>
      <c r="CTS23" s="582"/>
      <c r="CTT23" s="582"/>
      <c r="CTU23" s="582"/>
      <c r="CTV23" s="582"/>
      <c r="CTW23" s="582"/>
      <c r="CTX23" s="582"/>
      <c r="CTY23" s="582"/>
      <c r="CTZ23" s="582"/>
      <c r="CUA23" s="582"/>
      <c r="CUB23" s="582"/>
      <c r="CUC23" s="582"/>
      <c r="CUD23" s="582"/>
      <c r="CUE23" s="582"/>
      <c r="CUF23" s="582"/>
      <c r="CUG23" s="582"/>
      <c r="CUH23" s="582"/>
      <c r="CUI23" s="582"/>
      <c r="CUJ23" s="582"/>
      <c r="CUK23" s="582"/>
      <c r="CUL23" s="582"/>
      <c r="CUM23" s="582"/>
      <c r="CUN23" s="582"/>
      <c r="CUO23" s="582"/>
      <c r="CUP23" s="582"/>
      <c r="CUQ23" s="582"/>
      <c r="CUR23" s="582"/>
      <c r="CUS23" s="582"/>
      <c r="CUT23" s="582"/>
      <c r="CUU23" s="582"/>
      <c r="CUV23" s="582"/>
      <c r="CUW23" s="582"/>
      <c r="CUX23" s="582"/>
      <c r="CUY23" s="582"/>
      <c r="CUZ23" s="582"/>
      <c r="CVA23" s="582"/>
      <c r="CVB23" s="582"/>
      <c r="CVC23" s="582"/>
      <c r="CVD23" s="582"/>
      <c r="CVE23" s="582"/>
      <c r="CVF23" s="582"/>
      <c r="CVG23" s="582"/>
      <c r="CVH23" s="582"/>
      <c r="CVI23" s="582"/>
      <c r="CVJ23" s="582"/>
      <c r="CVK23" s="582"/>
      <c r="CVL23" s="582"/>
      <c r="CVM23" s="582"/>
      <c r="CVN23" s="582"/>
      <c r="CVO23" s="582"/>
      <c r="CVP23" s="582"/>
      <c r="CVQ23" s="582"/>
      <c r="CVR23" s="582"/>
      <c r="CVS23" s="582"/>
      <c r="CVT23" s="582"/>
      <c r="CVU23" s="582"/>
      <c r="CVV23" s="582"/>
      <c r="CVW23" s="582"/>
      <c r="CVX23" s="582"/>
      <c r="CVY23" s="582"/>
      <c r="CVZ23" s="582"/>
      <c r="CWA23" s="582"/>
      <c r="CWB23" s="582"/>
      <c r="CWC23" s="582"/>
      <c r="CWD23" s="582"/>
      <c r="CWE23" s="582"/>
      <c r="CWF23" s="582"/>
      <c r="CWG23" s="582"/>
      <c r="CWH23" s="582"/>
      <c r="CWI23" s="582"/>
      <c r="CWJ23" s="582"/>
      <c r="CWK23" s="582"/>
      <c r="CWL23" s="582"/>
      <c r="CWM23" s="582"/>
      <c r="CWN23" s="582"/>
      <c r="CWO23" s="582"/>
      <c r="CWP23" s="582"/>
      <c r="CWQ23" s="582"/>
      <c r="CWR23" s="582"/>
      <c r="CWS23" s="582"/>
      <c r="CWT23" s="582"/>
      <c r="CWU23" s="582"/>
      <c r="CWV23" s="582"/>
      <c r="CWW23" s="582"/>
      <c r="CWX23" s="582"/>
      <c r="CWY23" s="582"/>
      <c r="CWZ23" s="582"/>
      <c r="CXA23" s="582"/>
      <c r="CXB23" s="582"/>
      <c r="CXC23" s="582"/>
      <c r="CXD23" s="582"/>
      <c r="CXE23" s="582"/>
      <c r="CXF23" s="582"/>
      <c r="CXG23" s="582"/>
      <c r="CXH23" s="582"/>
      <c r="CXI23" s="582"/>
      <c r="CXJ23" s="582"/>
      <c r="CXK23" s="582"/>
      <c r="CXL23" s="582"/>
      <c r="CXM23" s="582"/>
      <c r="CXN23" s="582"/>
      <c r="CXO23" s="582"/>
      <c r="CXP23" s="582"/>
      <c r="CXQ23" s="582"/>
      <c r="CXR23" s="582"/>
      <c r="CXS23" s="582"/>
      <c r="CXT23" s="582"/>
      <c r="CXU23" s="582"/>
      <c r="CXV23" s="582"/>
      <c r="CXW23" s="582"/>
      <c r="CXX23" s="582"/>
      <c r="CXY23" s="582"/>
      <c r="CXZ23" s="582"/>
      <c r="CYA23" s="582"/>
      <c r="CYB23" s="582"/>
      <c r="CYC23" s="582"/>
      <c r="CYD23" s="582"/>
      <c r="CYE23" s="582"/>
      <c r="CYF23" s="582"/>
      <c r="CYG23" s="582"/>
      <c r="CYH23" s="582"/>
      <c r="CYI23" s="582"/>
      <c r="CYJ23" s="582"/>
      <c r="CYK23" s="582"/>
      <c r="CYL23" s="582"/>
      <c r="CYM23" s="582"/>
      <c r="CYN23" s="582"/>
      <c r="CYO23" s="582"/>
      <c r="CYP23" s="582"/>
      <c r="CYQ23" s="582"/>
      <c r="CYR23" s="582"/>
      <c r="CYS23" s="582"/>
      <c r="CYT23" s="582"/>
      <c r="CYU23" s="582"/>
      <c r="CYV23" s="582"/>
      <c r="CYW23" s="582"/>
      <c r="CYX23" s="582"/>
      <c r="CYY23" s="582"/>
      <c r="CYZ23" s="582"/>
      <c r="CZA23" s="582"/>
      <c r="CZB23" s="582"/>
      <c r="CZC23" s="582"/>
      <c r="CZD23" s="582"/>
      <c r="CZE23" s="582"/>
      <c r="CZF23" s="582"/>
      <c r="CZG23" s="582"/>
      <c r="CZH23" s="582"/>
      <c r="CZI23" s="582"/>
      <c r="CZJ23" s="582"/>
      <c r="CZK23" s="582"/>
      <c r="CZL23" s="582"/>
      <c r="CZM23" s="582"/>
      <c r="CZN23" s="582"/>
      <c r="CZO23" s="582"/>
      <c r="CZP23" s="582"/>
      <c r="CZQ23" s="582"/>
      <c r="CZR23" s="582"/>
      <c r="CZS23" s="582"/>
      <c r="CZT23" s="582"/>
      <c r="CZU23" s="582"/>
      <c r="CZV23" s="582"/>
      <c r="CZW23" s="582"/>
      <c r="CZX23" s="582"/>
      <c r="CZY23" s="582"/>
      <c r="CZZ23" s="582"/>
      <c r="DAA23" s="582"/>
      <c r="DAB23" s="582"/>
      <c r="DAC23" s="582"/>
      <c r="DAD23" s="582"/>
      <c r="DAE23" s="582"/>
      <c r="DAF23" s="582"/>
      <c r="DAG23" s="582"/>
      <c r="DAH23" s="582"/>
      <c r="DAI23" s="582"/>
      <c r="DAJ23" s="582"/>
      <c r="DAK23" s="582"/>
      <c r="DAL23" s="582"/>
      <c r="DAM23" s="582"/>
      <c r="DAN23" s="582"/>
      <c r="DAO23" s="582"/>
      <c r="DAP23" s="582"/>
      <c r="DAQ23" s="582"/>
      <c r="DAR23" s="582"/>
      <c r="DAS23" s="582"/>
      <c r="DAT23" s="582"/>
      <c r="DAU23" s="582"/>
      <c r="DAV23" s="582"/>
      <c r="DAW23" s="582"/>
      <c r="DAX23" s="582"/>
      <c r="DAY23" s="582"/>
      <c r="DAZ23" s="582"/>
      <c r="DBA23" s="582"/>
      <c r="DBB23" s="582"/>
      <c r="DBC23" s="582"/>
      <c r="DBD23" s="582"/>
      <c r="DBE23" s="582"/>
      <c r="DBF23" s="582"/>
      <c r="DBG23" s="582"/>
      <c r="DBH23" s="582"/>
      <c r="DBI23" s="582"/>
      <c r="DBJ23" s="582"/>
      <c r="DBK23" s="582"/>
      <c r="DBL23" s="582"/>
      <c r="DBM23" s="582"/>
      <c r="DBN23" s="582"/>
      <c r="DBO23" s="582"/>
      <c r="DBP23" s="582"/>
      <c r="DBQ23" s="582"/>
      <c r="DBR23" s="582"/>
      <c r="DBS23" s="582"/>
      <c r="DBT23" s="582"/>
      <c r="DBU23" s="582"/>
      <c r="DBV23" s="582"/>
      <c r="DBW23" s="582"/>
      <c r="DBX23" s="582"/>
      <c r="DBY23" s="582"/>
      <c r="DBZ23" s="582"/>
      <c r="DCA23" s="582"/>
      <c r="DCB23" s="582"/>
      <c r="DCC23" s="582"/>
      <c r="DCD23" s="582"/>
      <c r="DCE23" s="582"/>
      <c r="DCF23" s="582"/>
      <c r="DCG23" s="582"/>
      <c r="DCH23" s="582"/>
      <c r="DCI23" s="582"/>
      <c r="DCJ23" s="582"/>
      <c r="DCK23" s="582"/>
      <c r="DCL23" s="582"/>
      <c r="DCM23" s="582"/>
      <c r="DCN23" s="582"/>
      <c r="DCO23" s="582"/>
      <c r="DCP23" s="582"/>
      <c r="DCQ23" s="582"/>
      <c r="DCR23" s="582"/>
      <c r="DCS23" s="582"/>
      <c r="DCT23" s="582"/>
      <c r="DCU23" s="582"/>
      <c r="DCV23" s="582"/>
      <c r="DCW23" s="582"/>
      <c r="DCX23" s="582"/>
      <c r="DCY23" s="582"/>
      <c r="DCZ23" s="582"/>
      <c r="DDA23" s="582"/>
      <c r="DDB23" s="582"/>
      <c r="DDC23" s="582"/>
      <c r="DDD23" s="582"/>
      <c r="DDE23" s="582"/>
      <c r="DDF23" s="582"/>
      <c r="DDG23" s="582"/>
      <c r="DDH23" s="582"/>
      <c r="DDI23" s="582"/>
      <c r="DDJ23" s="582"/>
      <c r="DDK23" s="582"/>
      <c r="DDL23" s="582"/>
      <c r="DDM23" s="582"/>
      <c r="DDN23" s="582"/>
      <c r="DDO23" s="582"/>
      <c r="DDP23" s="582"/>
      <c r="DDQ23" s="582"/>
      <c r="DDR23" s="582"/>
      <c r="DDS23" s="582"/>
      <c r="DDT23" s="582"/>
      <c r="DDU23" s="582"/>
      <c r="DDV23" s="582"/>
      <c r="DDW23" s="582"/>
      <c r="DDX23" s="582"/>
      <c r="DDY23" s="582"/>
      <c r="DDZ23" s="582"/>
      <c r="DEA23" s="582"/>
      <c r="DEB23" s="582"/>
      <c r="DEC23" s="582"/>
      <c r="DED23" s="582"/>
      <c r="DEE23" s="582"/>
      <c r="DEF23" s="582"/>
      <c r="DEG23" s="582"/>
      <c r="DEH23" s="582"/>
      <c r="DEI23" s="582"/>
      <c r="DEJ23" s="582"/>
      <c r="DEK23" s="582"/>
      <c r="DEL23" s="582"/>
      <c r="DEM23" s="582"/>
      <c r="DEN23" s="582"/>
      <c r="DEO23" s="582"/>
      <c r="DEP23" s="582"/>
      <c r="DEQ23" s="582"/>
      <c r="DER23" s="582"/>
      <c r="DES23" s="582"/>
      <c r="DET23" s="582"/>
      <c r="DEU23" s="582"/>
      <c r="DEV23" s="582"/>
      <c r="DEW23" s="582"/>
      <c r="DEX23" s="582"/>
      <c r="DEY23" s="582"/>
      <c r="DEZ23" s="582"/>
      <c r="DFA23" s="582"/>
      <c r="DFB23" s="582"/>
      <c r="DFC23" s="582"/>
      <c r="DFD23" s="582"/>
      <c r="DFE23" s="582"/>
      <c r="DFF23" s="582"/>
      <c r="DFG23" s="582"/>
      <c r="DFH23" s="582"/>
      <c r="DFI23" s="582"/>
      <c r="DFJ23" s="582"/>
      <c r="DFK23" s="582"/>
      <c r="DFL23" s="582"/>
      <c r="DFM23" s="582"/>
      <c r="DFN23" s="582"/>
      <c r="DFO23" s="582"/>
      <c r="DFP23" s="582"/>
      <c r="DFQ23" s="582"/>
      <c r="DFR23" s="582"/>
      <c r="DFS23" s="582"/>
      <c r="DFT23" s="582"/>
      <c r="DFU23" s="582"/>
      <c r="DFV23" s="582"/>
      <c r="DFW23" s="582"/>
      <c r="DFX23" s="582"/>
      <c r="DFY23" s="582"/>
      <c r="DFZ23" s="582"/>
      <c r="DGA23" s="582"/>
      <c r="DGB23" s="582"/>
      <c r="DGC23" s="582"/>
      <c r="DGD23" s="582"/>
      <c r="DGE23" s="582"/>
      <c r="DGF23" s="582"/>
      <c r="DGG23" s="582"/>
      <c r="DGH23" s="582"/>
      <c r="DGI23" s="582"/>
      <c r="DGJ23" s="582"/>
      <c r="DGK23" s="582"/>
      <c r="DGL23" s="582"/>
      <c r="DGM23" s="582"/>
      <c r="DGN23" s="582"/>
      <c r="DGO23" s="582"/>
      <c r="DGP23" s="582"/>
      <c r="DGQ23" s="582"/>
      <c r="DGR23" s="582"/>
      <c r="DGS23" s="582"/>
      <c r="DGT23" s="582"/>
      <c r="DGU23" s="582"/>
      <c r="DGV23" s="582"/>
      <c r="DGW23" s="582"/>
      <c r="DGX23" s="582"/>
      <c r="DGY23" s="582"/>
      <c r="DGZ23" s="582"/>
      <c r="DHA23" s="582"/>
      <c r="DHB23" s="582"/>
      <c r="DHC23" s="582"/>
      <c r="DHD23" s="582"/>
      <c r="DHE23" s="582"/>
      <c r="DHF23" s="582"/>
      <c r="DHG23" s="582"/>
      <c r="DHH23" s="582"/>
      <c r="DHI23" s="582"/>
      <c r="DHJ23" s="582"/>
      <c r="DHK23" s="582"/>
      <c r="DHL23" s="582"/>
      <c r="DHM23" s="582"/>
      <c r="DHN23" s="582"/>
      <c r="DHO23" s="582"/>
      <c r="DHP23" s="582"/>
      <c r="DHQ23" s="582"/>
      <c r="DHR23" s="582"/>
      <c r="DHS23" s="582"/>
      <c r="DHT23" s="582"/>
      <c r="DHU23" s="582"/>
      <c r="DHV23" s="582"/>
      <c r="DHW23" s="582"/>
      <c r="DHX23" s="582"/>
      <c r="DHY23" s="582"/>
      <c r="DHZ23" s="582"/>
      <c r="DIA23" s="582"/>
      <c r="DIB23" s="582"/>
      <c r="DIC23" s="582"/>
      <c r="DID23" s="582"/>
      <c r="DIE23" s="582"/>
      <c r="DIF23" s="582"/>
      <c r="DIG23" s="582"/>
      <c r="DIH23" s="582"/>
      <c r="DII23" s="582"/>
      <c r="DIJ23" s="582"/>
      <c r="DIK23" s="582"/>
      <c r="DIL23" s="582"/>
      <c r="DIM23" s="582"/>
      <c r="DIN23" s="582"/>
      <c r="DIO23" s="582"/>
      <c r="DIP23" s="582"/>
      <c r="DIQ23" s="582"/>
      <c r="DIR23" s="582"/>
      <c r="DIS23" s="582"/>
      <c r="DIT23" s="582"/>
      <c r="DIU23" s="582"/>
      <c r="DIV23" s="582"/>
      <c r="DIW23" s="582"/>
      <c r="DIX23" s="582"/>
      <c r="DIY23" s="582"/>
      <c r="DIZ23" s="582"/>
      <c r="DJA23" s="582"/>
      <c r="DJB23" s="582"/>
      <c r="DJC23" s="582"/>
      <c r="DJD23" s="582"/>
      <c r="DJE23" s="582"/>
      <c r="DJF23" s="582"/>
      <c r="DJG23" s="582"/>
      <c r="DJH23" s="582"/>
      <c r="DJI23" s="582"/>
      <c r="DJJ23" s="582"/>
      <c r="DJK23" s="582"/>
      <c r="DJL23" s="582"/>
      <c r="DJM23" s="582"/>
      <c r="DJN23" s="582"/>
      <c r="DJO23" s="582"/>
      <c r="DJP23" s="582"/>
      <c r="DJQ23" s="582"/>
      <c r="DJR23" s="582"/>
      <c r="DJS23" s="582"/>
      <c r="DJT23" s="582"/>
      <c r="DJU23" s="582"/>
      <c r="DJV23" s="582"/>
      <c r="DJW23" s="582"/>
      <c r="DJX23" s="582"/>
      <c r="DJY23" s="582"/>
      <c r="DJZ23" s="582"/>
      <c r="DKA23" s="582"/>
      <c r="DKB23" s="582"/>
      <c r="DKC23" s="582"/>
      <c r="DKD23" s="582"/>
      <c r="DKE23" s="582"/>
      <c r="DKF23" s="582"/>
      <c r="DKG23" s="582"/>
      <c r="DKH23" s="582"/>
      <c r="DKI23" s="582"/>
      <c r="DKJ23" s="582"/>
      <c r="DKK23" s="582"/>
      <c r="DKL23" s="582"/>
      <c r="DKM23" s="582"/>
      <c r="DKN23" s="582"/>
      <c r="DKO23" s="582"/>
      <c r="DKP23" s="582"/>
      <c r="DKQ23" s="582"/>
      <c r="DKR23" s="582"/>
      <c r="DKS23" s="582"/>
      <c r="DKT23" s="582"/>
      <c r="DKU23" s="582"/>
      <c r="DKV23" s="582"/>
      <c r="DKW23" s="582"/>
      <c r="DKX23" s="582"/>
      <c r="DKY23" s="582"/>
      <c r="DKZ23" s="582"/>
      <c r="DLA23" s="582"/>
      <c r="DLB23" s="582"/>
      <c r="DLC23" s="582"/>
      <c r="DLD23" s="582"/>
      <c r="DLE23" s="582"/>
      <c r="DLF23" s="582"/>
      <c r="DLG23" s="582"/>
      <c r="DLH23" s="582"/>
      <c r="DLI23" s="582"/>
      <c r="DLJ23" s="582"/>
      <c r="DLK23" s="582"/>
      <c r="DLL23" s="582"/>
      <c r="DLM23" s="582"/>
      <c r="DLN23" s="582"/>
      <c r="DLO23" s="582"/>
      <c r="DLP23" s="582"/>
      <c r="DLQ23" s="582"/>
      <c r="DLR23" s="582"/>
      <c r="DLS23" s="582"/>
      <c r="DLT23" s="582"/>
      <c r="DLU23" s="582"/>
      <c r="DLV23" s="582"/>
      <c r="DLW23" s="582"/>
      <c r="DLX23" s="582"/>
      <c r="DLY23" s="582"/>
      <c r="DLZ23" s="582"/>
      <c r="DMA23" s="582"/>
      <c r="DMB23" s="582"/>
      <c r="DMC23" s="582"/>
      <c r="DMD23" s="582"/>
      <c r="DME23" s="582"/>
      <c r="DMF23" s="582"/>
      <c r="DMG23" s="582"/>
      <c r="DMH23" s="582"/>
      <c r="DMI23" s="582"/>
      <c r="DMJ23" s="582"/>
      <c r="DMK23" s="582"/>
      <c r="DML23" s="582"/>
      <c r="DMM23" s="582"/>
      <c r="DMN23" s="582"/>
      <c r="DMO23" s="582"/>
      <c r="DMP23" s="582"/>
      <c r="DMQ23" s="582"/>
      <c r="DMR23" s="582"/>
      <c r="DMS23" s="582"/>
      <c r="DMT23" s="582"/>
      <c r="DMU23" s="582"/>
      <c r="DMV23" s="582"/>
      <c r="DMW23" s="582"/>
      <c r="DMX23" s="582"/>
      <c r="DMY23" s="582"/>
      <c r="DMZ23" s="582"/>
      <c r="DNA23" s="582"/>
      <c r="DNB23" s="582"/>
      <c r="DNC23" s="582"/>
      <c r="DND23" s="582"/>
      <c r="DNE23" s="582"/>
      <c r="DNF23" s="582"/>
      <c r="DNG23" s="582"/>
      <c r="DNH23" s="582"/>
      <c r="DNI23" s="582"/>
      <c r="DNJ23" s="582"/>
      <c r="DNK23" s="582"/>
      <c r="DNL23" s="582"/>
      <c r="DNM23" s="582"/>
      <c r="DNN23" s="582"/>
      <c r="DNO23" s="582"/>
      <c r="DNP23" s="582"/>
      <c r="DNQ23" s="582"/>
      <c r="DNR23" s="582"/>
      <c r="DNS23" s="582"/>
      <c r="DNT23" s="582"/>
      <c r="DNU23" s="582"/>
      <c r="DNV23" s="582"/>
      <c r="DNW23" s="582"/>
      <c r="DNX23" s="582"/>
      <c r="DNY23" s="582"/>
      <c r="DNZ23" s="582"/>
      <c r="DOA23" s="582"/>
      <c r="DOB23" s="582"/>
      <c r="DOC23" s="582"/>
      <c r="DOD23" s="582"/>
      <c r="DOE23" s="582"/>
      <c r="DOF23" s="582"/>
      <c r="DOG23" s="582"/>
      <c r="DOH23" s="582"/>
      <c r="DOI23" s="582"/>
      <c r="DOJ23" s="582"/>
      <c r="DOK23" s="582"/>
      <c r="DOL23" s="582"/>
      <c r="DOM23" s="582"/>
      <c r="DON23" s="582"/>
      <c r="DOO23" s="582"/>
      <c r="DOP23" s="582"/>
      <c r="DOQ23" s="582"/>
      <c r="DOR23" s="582"/>
      <c r="DOS23" s="582"/>
      <c r="DOT23" s="582"/>
      <c r="DOU23" s="582"/>
      <c r="DOV23" s="582"/>
      <c r="DOW23" s="582"/>
      <c r="DOX23" s="582"/>
      <c r="DOY23" s="582"/>
      <c r="DOZ23" s="582"/>
      <c r="DPA23" s="582"/>
      <c r="DPB23" s="582"/>
      <c r="DPC23" s="582"/>
      <c r="DPD23" s="582"/>
      <c r="DPE23" s="582"/>
      <c r="DPF23" s="582"/>
      <c r="DPG23" s="582"/>
      <c r="DPH23" s="582"/>
      <c r="DPI23" s="582"/>
      <c r="DPJ23" s="582"/>
      <c r="DPK23" s="582"/>
      <c r="DPL23" s="582"/>
      <c r="DPM23" s="582"/>
      <c r="DPN23" s="582"/>
      <c r="DPO23" s="582"/>
      <c r="DPP23" s="582"/>
      <c r="DPQ23" s="582"/>
      <c r="DPR23" s="582"/>
      <c r="DPS23" s="582"/>
      <c r="DPT23" s="582"/>
      <c r="DPU23" s="582"/>
      <c r="DPV23" s="582"/>
      <c r="DPW23" s="582"/>
      <c r="DPX23" s="582"/>
      <c r="DPY23" s="582"/>
      <c r="DPZ23" s="582"/>
      <c r="DQA23" s="582"/>
      <c r="DQB23" s="582"/>
      <c r="DQC23" s="582"/>
      <c r="DQD23" s="582"/>
      <c r="DQE23" s="582"/>
      <c r="DQF23" s="582"/>
      <c r="DQG23" s="582"/>
      <c r="DQH23" s="582"/>
      <c r="DQI23" s="582"/>
      <c r="DQJ23" s="582"/>
      <c r="DQK23" s="582"/>
      <c r="DQL23" s="582"/>
      <c r="DQM23" s="582"/>
      <c r="DQN23" s="582"/>
      <c r="DQO23" s="582"/>
      <c r="DQP23" s="582"/>
      <c r="DQQ23" s="582"/>
      <c r="DQR23" s="582"/>
      <c r="DQS23" s="582"/>
      <c r="DQT23" s="582"/>
      <c r="DQU23" s="582"/>
      <c r="DQV23" s="582"/>
      <c r="DQW23" s="582"/>
      <c r="DQX23" s="582"/>
      <c r="DQY23" s="582"/>
      <c r="DQZ23" s="582"/>
      <c r="DRA23" s="582"/>
      <c r="DRB23" s="582"/>
      <c r="DRC23" s="582"/>
      <c r="DRD23" s="582"/>
      <c r="DRE23" s="582"/>
      <c r="DRF23" s="582"/>
      <c r="DRG23" s="582"/>
      <c r="DRH23" s="582"/>
      <c r="DRI23" s="582"/>
      <c r="DRJ23" s="582"/>
      <c r="DRK23" s="582"/>
      <c r="DRL23" s="582"/>
      <c r="DRM23" s="582"/>
      <c r="DRN23" s="582"/>
      <c r="DRO23" s="582"/>
      <c r="DRP23" s="582"/>
      <c r="DRQ23" s="582"/>
      <c r="DRR23" s="582"/>
      <c r="DRS23" s="582"/>
      <c r="DRT23" s="582"/>
      <c r="DRU23" s="582"/>
      <c r="DRV23" s="582"/>
      <c r="DRW23" s="582"/>
      <c r="DRX23" s="582"/>
      <c r="DRY23" s="582"/>
      <c r="DRZ23" s="582"/>
      <c r="DSA23" s="582"/>
      <c r="DSB23" s="582"/>
      <c r="DSC23" s="582"/>
      <c r="DSD23" s="582"/>
      <c r="DSE23" s="582"/>
      <c r="DSF23" s="582"/>
      <c r="DSG23" s="582"/>
      <c r="DSH23" s="582"/>
      <c r="DSI23" s="582"/>
      <c r="DSJ23" s="582"/>
      <c r="DSK23" s="582"/>
      <c r="DSL23" s="582"/>
      <c r="DSM23" s="582"/>
      <c r="DSN23" s="582"/>
      <c r="DSO23" s="582"/>
      <c r="DSP23" s="582"/>
      <c r="DSQ23" s="582"/>
      <c r="DSR23" s="582"/>
      <c r="DSS23" s="582"/>
      <c r="DST23" s="582"/>
      <c r="DSU23" s="582"/>
      <c r="DSV23" s="582"/>
      <c r="DSW23" s="582"/>
      <c r="DSX23" s="582"/>
      <c r="DSY23" s="582"/>
      <c r="DSZ23" s="582"/>
      <c r="DTA23" s="582"/>
      <c r="DTB23" s="582"/>
      <c r="DTC23" s="582"/>
      <c r="DTD23" s="582"/>
      <c r="DTE23" s="582"/>
      <c r="DTF23" s="582"/>
      <c r="DTG23" s="582"/>
      <c r="DTH23" s="582"/>
      <c r="DTI23" s="582"/>
      <c r="DTJ23" s="582"/>
      <c r="DTK23" s="582"/>
      <c r="DTL23" s="582"/>
      <c r="DTM23" s="582"/>
      <c r="DTN23" s="582"/>
      <c r="DTO23" s="582"/>
      <c r="DTP23" s="582"/>
      <c r="DTQ23" s="582"/>
      <c r="DTR23" s="582"/>
      <c r="DTS23" s="582"/>
      <c r="DTT23" s="582"/>
      <c r="DTU23" s="582"/>
      <c r="DTV23" s="582"/>
      <c r="DTW23" s="582"/>
      <c r="DTX23" s="582"/>
      <c r="DTY23" s="582"/>
      <c r="DTZ23" s="582"/>
      <c r="DUA23" s="582"/>
      <c r="DUB23" s="582"/>
      <c r="DUC23" s="582"/>
      <c r="DUD23" s="582"/>
      <c r="DUE23" s="582"/>
      <c r="DUF23" s="582"/>
      <c r="DUG23" s="582"/>
      <c r="DUH23" s="582"/>
      <c r="DUI23" s="582"/>
      <c r="DUJ23" s="582"/>
      <c r="DUK23" s="582"/>
      <c r="DUL23" s="582"/>
      <c r="DUM23" s="582"/>
      <c r="DUN23" s="582"/>
      <c r="DUO23" s="582"/>
      <c r="DUP23" s="582"/>
      <c r="DUQ23" s="582"/>
      <c r="DUR23" s="582"/>
      <c r="DUS23" s="582"/>
      <c r="DUT23" s="582"/>
      <c r="DUU23" s="582"/>
      <c r="DUV23" s="582"/>
      <c r="DUW23" s="582"/>
      <c r="DUX23" s="582"/>
      <c r="DUY23" s="582"/>
      <c r="DUZ23" s="582"/>
      <c r="DVA23" s="582"/>
      <c r="DVB23" s="582"/>
      <c r="DVC23" s="582"/>
      <c r="DVD23" s="582"/>
      <c r="DVE23" s="582"/>
      <c r="DVF23" s="582"/>
      <c r="DVG23" s="582"/>
      <c r="DVH23" s="582"/>
      <c r="DVI23" s="582"/>
      <c r="DVJ23" s="582"/>
      <c r="DVK23" s="582"/>
      <c r="DVL23" s="582"/>
      <c r="DVM23" s="582"/>
      <c r="DVN23" s="582"/>
      <c r="DVO23" s="582"/>
      <c r="DVP23" s="582"/>
      <c r="DVQ23" s="582"/>
      <c r="DVR23" s="582"/>
      <c r="DVS23" s="582"/>
      <c r="DVT23" s="582"/>
      <c r="DVU23" s="582"/>
      <c r="DVV23" s="582"/>
      <c r="DVW23" s="582"/>
      <c r="DVX23" s="582"/>
      <c r="DVY23" s="582"/>
      <c r="DVZ23" s="582"/>
      <c r="DWA23" s="582"/>
      <c r="DWB23" s="582"/>
      <c r="DWC23" s="582"/>
      <c r="DWD23" s="582"/>
      <c r="DWE23" s="582"/>
      <c r="DWF23" s="582"/>
      <c r="DWG23" s="582"/>
      <c r="DWH23" s="582"/>
      <c r="DWI23" s="582"/>
      <c r="DWJ23" s="582"/>
      <c r="DWK23" s="582"/>
      <c r="DWL23" s="582"/>
      <c r="DWM23" s="582"/>
      <c r="DWN23" s="582"/>
      <c r="DWO23" s="582"/>
      <c r="DWP23" s="582"/>
      <c r="DWQ23" s="582"/>
      <c r="DWR23" s="582"/>
      <c r="DWS23" s="582"/>
      <c r="DWT23" s="582"/>
      <c r="DWU23" s="582"/>
      <c r="DWV23" s="582"/>
      <c r="DWW23" s="582"/>
      <c r="DWX23" s="582"/>
      <c r="DWY23" s="582"/>
      <c r="DWZ23" s="582"/>
      <c r="DXA23" s="582"/>
      <c r="DXB23" s="582"/>
      <c r="DXC23" s="582"/>
      <c r="DXD23" s="582"/>
      <c r="DXE23" s="582"/>
      <c r="DXF23" s="582"/>
      <c r="DXG23" s="582"/>
      <c r="DXH23" s="582"/>
      <c r="DXI23" s="582"/>
      <c r="DXJ23" s="582"/>
      <c r="DXK23" s="582"/>
      <c r="DXL23" s="582"/>
      <c r="DXM23" s="582"/>
      <c r="DXN23" s="582"/>
      <c r="DXO23" s="582"/>
      <c r="DXP23" s="582"/>
      <c r="DXQ23" s="582"/>
      <c r="DXR23" s="582"/>
      <c r="DXS23" s="582"/>
      <c r="DXT23" s="582"/>
      <c r="DXU23" s="582"/>
      <c r="DXV23" s="582"/>
      <c r="DXW23" s="582"/>
      <c r="DXX23" s="582"/>
      <c r="DXY23" s="582"/>
      <c r="DXZ23" s="582"/>
      <c r="DYA23" s="582"/>
      <c r="DYB23" s="582"/>
      <c r="DYC23" s="582"/>
      <c r="DYD23" s="582"/>
      <c r="DYE23" s="582"/>
      <c r="DYF23" s="582"/>
      <c r="DYG23" s="582"/>
      <c r="DYH23" s="582"/>
      <c r="DYI23" s="582"/>
      <c r="DYJ23" s="582"/>
      <c r="DYK23" s="582"/>
      <c r="DYL23" s="582"/>
      <c r="DYM23" s="582"/>
      <c r="DYN23" s="582"/>
      <c r="DYO23" s="582"/>
      <c r="DYP23" s="582"/>
      <c r="DYQ23" s="582"/>
      <c r="DYR23" s="582"/>
      <c r="DYS23" s="582"/>
      <c r="DYT23" s="582"/>
      <c r="DYU23" s="582"/>
      <c r="DYV23" s="582"/>
      <c r="DYW23" s="582"/>
      <c r="DYX23" s="582"/>
      <c r="DYY23" s="582"/>
      <c r="DYZ23" s="582"/>
      <c r="DZA23" s="582"/>
      <c r="DZB23" s="582"/>
      <c r="DZC23" s="582"/>
      <c r="DZD23" s="582"/>
      <c r="DZE23" s="582"/>
      <c r="DZF23" s="582"/>
      <c r="DZG23" s="582"/>
      <c r="DZH23" s="582"/>
      <c r="DZI23" s="582"/>
      <c r="DZJ23" s="582"/>
      <c r="DZK23" s="582"/>
      <c r="DZL23" s="582"/>
      <c r="DZM23" s="582"/>
      <c r="DZN23" s="582"/>
      <c r="DZO23" s="582"/>
      <c r="DZP23" s="582"/>
      <c r="DZQ23" s="582"/>
      <c r="DZR23" s="582"/>
      <c r="DZS23" s="582"/>
      <c r="DZT23" s="582"/>
      <c r="DZU23" s="582"/>
      <c r="DZV23" s="582"/>
      <c r="DZW23" s="582"/>
      <c r="DZX23" s="582"/>
      <c r="DZY23" s="582"/>
      <c r="DZZ23" s="582"/>
      <c r="EAA23" s="582"/>
      <c r="EAB23" s="582"/>
      <c r="EAC23" s="582"/>
      <c r="EAD23" s="582"/>
      <c r="EAE23" s="582"/>
      <c r="EAF23" s="582"/>
      <c r="EAG23" s="582"/>
      <c r="EAH23" s="582"/>
      <c r="EAI23" s="582"/>
      <c r="EAJ23" s="582"/>
      <c r="EAK23" s="582"/>
      <c r="EAL23" s="582"/>
      <c r="EAM23" s="582"/>
      <c r="EAN23" s="582"/>
      <c r="EAO23" s="582"/>
      <c r="EAP23" s="582"/>
      <c r="EAQ23" s="582"/>
      <c r="EAR23" s="582"/>
      <c r="EAS23" s="582"/>
      <c r="EAT23" s="582"/>
      <c r="EAU23" s="582"/>
      <c r="EAV23" s="582"/>
      <c r="EAW23" s="582"/>
      <c r="EAX23" s="582"/>
      <c r="EAY23" s="582"/>
      <c r="EAZ23" s="582"/>
      <c r="EBA23" s="582"/>
      <c r="EBB23" s="582"/>
      <c r="EBC23" s="582"/>
      <c r="EBD23" s="582"/>
      <c r="EBE23" s="582"/>
      <c r="EBF23" s="582"/>
      <c r="EBG23" s="582"/>
      <c r="EBH23" s="582"/>
      <c r="EBI23" s="582"/>
      <c r="EBJ23" s="582"/>
      <c r="EBK23" s="582"/>
      <c r="EBL23" s="582"/>
      <c r="EBM23" s="582"/>
      <c r="EBN23" s="582"/>
      <c r="EBO23" s="582"/>
      <c r="EBP23" s="582"/>
      <c r="EBQ23" s="582"/>
      <c r="EBR23" s="582"/>
      <c r="EBS23" s="582"/>
      <c r="EBT23" s="582"/>
      <c r="EBU23" s="582"/>
      <c r="EBV23" s="582"/>
      <c r="EBW23" s="582"/>
      <c r="EBX23" s="582"/>
      <c r="EBY23" s="582"/>
      <c r="EBZ23" s="582"/>
      <c r="ECA23" s="582"/>
      <c r="ECB23" s="582"/>
      <c r="ECC23" s="582"/>
      <c r="ECD23" s="582"/>
      <c r="ECE23" s="582"/>
      <c r="ECF23" s="582"/>
      <c r="ECG23" s="582"/>
      <c r="ECH23" s="582"/>
      <c r="ECI23" s="582"/>
      <c r="ECJ23" s="582"/>
      <c r="ECK23" s="582"/>
      <c r="ECL23" s="582"/>
      <c r="ECM23" s="582"/>
      <c r="ECN23" s="582"/>
      <c r="ECO23" s="582"/>
      <c r="ECP23" s="582"/>
      <c r="ECQ23" s="582"/>
      <c r="ECR23" s="582"/>
      <c r="ECS23" s="582"/>
      <c r="ECT23" s="582"/>
      <c r="ECU23" s="582"/>
      <c r="ECV23" s="582"/>
      <c r="ECW23" s="582"/>
      <c r="ECX23" s="582"/>
      <c r="ECY23" s="582"/>
      <c r="ECZ23" s="582"/>
      <c r="EDA23" s="582"/>
      <c r="EDB23" s="582"/>
      <c r="EDC23" s="582"/>
      <c r="EDD23" s="582"/>
      <c r="EDE23" s="582"/>
      <c r="EDF23" s="582"/>
      <c r="EDG23" s="582"/>
      <c r="EDH23" s="582"/>
      <c r="EDI23" s="582"/>
      <c r="EDJ23" s="582"/>
      <c r="EDK23" s="582"/>
      <c r="EDL23" s="582"/>
      <c r="EDM23" s="582"/>
      <c r="EDN23" s="582"/>
      <c r="EDO23" s="582"/>
      <c r="EDP23" s="582"/>
      <c r="EDQ23" s="582"/>
      <c r="EDR23" s="582"/>
      <c r="EDS23" s="582"/>
      <c r="EDT23" s="582"/>
      <c r="EDU23" s="582"/>
      <c r="EDV23" s="582"/>
      <c r="EDW23" s="582"/>
      <c r="EDX23" s="582"/>
      <c r="EDY23" s="582"/>
      <c r="EDZ23" s="582"/>
      <c r="EEA23" s="582"/>
      <c r="EEB23" s="582"/>
      <c r="EEC23" s="582"/>
      <c r="EED23" s="582"/>
      <c r="EEE23" s="582"/>
      <c r="EEF23" s="582"/>
      <c r="EEG23" s="582"/>
      <c r="EEH23" s="582"/>
      <c r="EEI23" s="582"/>
      <c r="EEJ23" s="582"/>
      <c r="EEK23" s="582"/>
      <c r="EEL23" s="582"/>
      <c r="EEM23" s="582"/>
      <c r="EEN23" s="582"/>
      <c r="EEO23" s="582"/>
      <c r="EEP23" s="582"/>
      <c r="EEQ23" s="582"/>
      <c r="EER23" s="582"/>
      <c r="EES23" s="582"/>
      <c r="EET23" s="582"/>
      <c r="EEU23" s="582"/>
      <c r="EEV23" s="582"/>
      <c r="EEW23" s="582"/>
      <c r="EEX23" s="582"/>
      <c r="EEY23" s="582"/>
      <c r="EEZ23" s="582"/>
      <c r="EFA23" s="582"/>
      <c r="EFB23" s="582"/>
      <c r="EFC23" s="582"/>
      <c r="EFD23" s="582"/>
      <c r="EFE23" s="582"/>
      <c r="EFF23" s="582"/>
      <c r="EFG23" s="582"/>
      <c r="EFH23" s="582"/>
      <c r="EFI23" s="582"/>
      <c r="EFJ23" s="582"/>
      <c r="EFK23" s="582"/>
      <c r="EFL23" s="582"/>
      <c r="EFM23" s="582"/>
      <c r="EFN23" s="582"/>
      <c r="EFO23" s="582"/>
      <c r="EFP23" s="582"/>
      <c r="EFQ23" s="582"/>
      <c r="EFR23" s="582"/>
      <c r="EFS23" s="582"/>
      <c r="EFT23" s="582"/>
      <c r="EFU23" s="582"/>
      <c r="EFV23" s="582"/>
      <c r="EFW23" s="582"/>
      <c r="EFX23" s="582"/>
      <c r="EFY23" s="582"/>
      <c r="EFZ23" s="582"/>
      <c r="EGA23" s="582"/>
      <c r="EGB23" s="582"/>
      <c r="EGC23" s="582"/>
      <c r="EGD23" s="582"/>
      <c r="EGE23" s="582"/>
      <c r="EGF23" s="582"/>
      <c r="EGG23" s="582"/>
      <c r="EGH23" s="582"/>
      <c r="EGI23" s="582"/>
      <c r="EGJ23" s="582"/>
      <c r="EGK23" s="582"/>
      <c r="EGL23" s="582"/>
      <c r="EGM23" s="582"/>
      <c r="EGN23" s="582"/>
      <c r="EGO23" s="582"/>
      <c r="EGP23" s="582"/>
      <c r="EGQ23" s="582"/>
      <c r="EGR23" s="582"/>
      <c r="EGS23" s="582"/>
      <c r="EGT23" s="582"/>
      <c r="EGU23" s="582"/>
      <c r="EGV23" s="582"/>
      <c r="EGW23" s="582"/>
      <c r="EGX23" s="582"/>
      <c r="EGY23" s="582"/>
      <c r="EGZ23" s="582"/>
      <c r="EHA23" s="582"/>
      <c r="EHB23" s="582"/>
      <c r="EHC23" s="582"/>
      <c r="EHD23" s="582"/>
      <c r="EHE23" s="582"/>
      <c r="EHF23" s="582"/>
      <c r="EHG23" s="582"/>
      <c r="EHH23" s="582"/>
      <c r="EHI23" s="582"/>
      <c r="EHJ23" s="582"/>
      <c r="EHK23" s="582"/>
      <c r="EHL23" s="582"/>
      <c r="EHM23" s="582"/>
      <c r="EHN23" s="582"/>
      <c r="EHO23" s="582"/>
      <c r="EHP23" s="582"/>
      <c r="EHQ23" s="582"/>
      <c r="EHR23" s="582"/>
      <c r="EHS23" s="582"/>
      <c r="EHT23" s="582"/>
      <c r="EHU23" s="582"/>
      <c r="EHV23" s="582"/>
      <c r="EHW23" s="582"/>
      <c r="EHX23" s="582"/>
      <c r="EHY23" s="582"/>
      <c r="EHZ23" s="582"/>
      <c r="EIA23" s="582"/>
      <c r="EIB23" s="582"/>
      <c r="EIC23" s="582"/>
      <c r="EID23" s="582"/>
      <c r="EIE23" s="582"/>
      <c r="EIF23" s="582"/>
      <c r="EIG23" s="582"/>
      <c r="EIH23" s="582"/>
      <c r="EII23" s="582"/>
      <c r="EIJ23" s="582"/>
      <c r="EIK23" s="582"/>
      <c r="EIL23" s="582"/>
      <c r="EIM23" s="582"/>
      <c r="EIN23" s="582"/>
      <c r="EIO23" s="582"/>
      <c r="EIP23" s="582"/>
      <c r="EIQ23" s="582"/>
      <c r="EIR23" s="582"/>
      <c r="EIS23" s="582"/>
      <c r="EIT23" s="582"/>
      <c r="EIU23" s="582"/>
      <c r="EIV23" s="582"/>
      <c r="EIW23" s="582"/>
      <c r="EIX23" s="582"/>
      <c r="EIY23" s="582"/>
      <c r="EIZ23" s="582"/>
      <c r="EJA23" s="582"/>
      <c r="EJB23" s="582"/>
      <c r="EJC23" s="582"/>
      <c r="EJD23" s="582"/>
      <c r="EJE23" s="582"/>
      <c r="EJF23" s="582"/>
      <c r="EJG23" s="582"/>
      <c r="EJH23" s="582"/>
      <c r="EJI23" s="582"/>
      <c r="EJJ23" s="582"/>
      <c r="EJK23" s="582"/>
      <c r="EJL23" s="582"/>
      <c r="EJM23" s="582"/>
      <c r="EJN23" s="582"/>
      <c r="EJO23" s="582"/>
      <c r="EJP23" s="582"/>
      <c r="EJQ23" s="582"/>
      <c r="EJR23" s="582"/>
      <c r="EJS23" s="582"/>
      <c r="EJT23" s="582"/>
      <c r="EJU23" s="582"/>
      <c r="EJV23" s="582"/>
      <c r="EJW23" s="582"/>
      <c r="EJX23" s="582"/>
      <c r="EJY23" s="582"/>
      <c r="EJZ23" s="582"/>
      <c r="EKA23" s="582"/>
      <c r="EKB23" s="582"/>
      <c r="EKC23" s="582"/>
      <c r="EKD23" s="582"/>
      <c r="EKE23" s="582"/>
      <c r="EKF23" s="582"/>
      <c r="EKG23" s="582"/>
      <c r="EKH23" s="582"/>
      <c r="EKI23" s="582"/>
      <c r="EKJ23" s="582"/>
      <c r="EKK23" s="582"/>
      <c r="EKL23" s="582"/>
      <c r="EKM23" s="582"/>
      <c r="EKN23" s="582"/>
      <c r="EKO23" s="582"/>
      <c r="EKP23" s="582"/>
      <c r="EKQ23" s="582"/>
      <c r="EKR23" s="582"/>
      <c r="EKS23" s="582"/>
      <c r="EKT23" s="582"/>
      <c r="EKU23" s="582"/>
      <c r="EKV23" s="582"/>
      <c r="EKW23" s="582"/>
      <c r="EKX23" s="582"/>
      <c r="EKY23" s="582"/>
      <c r="EKZ23" s="582"/>
      <c r="ELA23" s="582"/>
      <c r="ELB23" s="582"/>
      <c r="ELC23" s="582"/>
      <c r="ELD23" s="582"/>
      <c r="ELE23" s="582"/>
      <c r="ELF23" s="582"/>
      <c r="ELG23" s="582"/>
      <c r="ELH23" s="582"/>
      <c r="ELI23" s="582"/>
      <c r="ELJ23" s="582"/>
      <c r="ELK23" s="582"/>
      <c r="ELL23" s="582"/>
      <c r="ELM23" s="582"/>
      <c r="ELN23" s="582"/>
      <c r="ELO23" s="582"/>
      <c r="ELP23" s="582"/>
      <c r="ELQ23" s="582"/>
      <c r="ELR23" s="582"/>
      <c r="ELS23" s="582"/>
      <c r="ELT23" s="582"/>
      <c r="ELU23" s="582"/>
      <c r="ELV23" s="582"/>
      <c r="ELW23" s="582"/>
      <c r="ELX23" s="582"/>
      <c r="ELY23" s="582"/>
      <c r="ELZ23" s="582"/>
      <c r="EMA23" s="582"/>
      <c r="EMB23" s="582"/>
      <c r="EMC23" s="582"/>
      <c r="EMD23" s="582"/>
      <c r="EME23" s="582"/>
      <c r="EMF23" s="582"/>
      <c r="EMG23" s="582"/>
      <c r="EMH23" s="582"/>
      <c r="EMI23" s="582"/>
      <c r="EMJ23" s="582"/>
      <c r="EMK23" s="582"/>
      <c r="EML23" s="582"/>
      <c r="EMM23" s="582"/>
      <c r="EMN23" s="582"/>
      <c r="EMO23" s="582"/>
      <c r="EMP23" s="582"/>
      <c r="EMQ23" s="582"/>
      <c r="EMR23" s="582"/>
      <c r="EMS23" s="582"/>
      <c r="EMT23" s="582"/>
      <c r="EMU23" s="582"/>
      <c r="EMV23" s="582"/>
      <c r="EMW23" s="582"/>
      <c r="EMX23" s="582"/>
      <c r="EMY23" s="582"/>
      <c r="EMZ23" s="582"/>
      <c r="ENA23" s="582"/>
      <c r="ENB23" s="582"/>
      <c r="ENC23" s="582"/>
      <c r="END23" s="582"/>
      <c r="ENE23" s="582"/>
      <c r="ENF23" s="582"/>
      <c r="ENG23" s="582"/>
      <c r="ENH23" s="582"/>
      <c r="ENI23" s="582"/>
      <c r="ENJ23" s="582"/>
      <c r="ENK23" s="582"/>
      <c r="ENL23" s="582"/>
      <c r="ENM23" s="582"/>
      <c r="ENN23" s="582"/>
      <c r="ENO23" s="582"/>
      <c r="ENP23" s="582"/>
      <c r="ENQ23" s="582"/>
      <c r="ENR23" s="582"/>
      <c r="ENS23" s="582"/>
      <c r="ENT23" s="582"/>
      <c r="ENU23" s="582"/>
      <c r="ENV23" s="582"/>
      <c r="ENW23" s="582"/>
      <c r="ENX23" s="582"/>
      <c r="ENY23" s="582"/>
      <c r="ENZ23" s="582"/>
      <c r="EOA23" s="582"/>
      <c r="EOB23" s="582"/>
      <c r="EOC23" s="582"/>
      <c r="EOD23" s="582"/>
      <c r="EOE23" s="582"/>
      <c r="EOF23" s="582"/>
      <c r="EOG23" s="582"/>
      <c r="EOH23" s="582"/>
      <c r="EOI23" s="582"/>
      <c r="EOJ23" s="582"/>
      <c r="EOK23" s="582"/>
      <c r="EOL23" s="582"/>
      <c r="EOM23" s="582"/>
      <c r="EON23" s="582"/>
      <c r="EOO23" s="582"/>
      <c r="EOP23" s="582"/>
      <c r="EOQ23" s="582"/>
      <c r="EOR23" s="582"/>
      <c r="EOS23" s="582"/>
      <c r="EOT23" s="582"/>
      <c r="EOU23" s="582"/>
      <c r="EOV23" s="582"/>
      <c r="EOW23" s="582"/>
      <c r="EOX23" s="582"/>
      <c r="EOY23" s="582"/>
      <c r="EOZ23" s="582"/>
      <c r="EPA23" s="582"/>
      <c r="EPB23" s="582"/>
      <c r="EPC23" s="582"/>
      <c r="EPD23" s="582"/>
      <c r="EPE23" s="582"/>
      <c r="EPF23" s="582"/>
      <c r="EPG23" s="582"/>
      <c r="EPH23" s="582"/>
      <c r="EPI23" s="582"/>
      <c r="EPJ23" s="582"/>
      <c r="EPK23" s="582"/>
      <c r="EPL23" s="582"/>
      <c r="EPM23" s="582"/>
      <c r="EPN23" s="582"/>
      <c r="EPO23" s="582"/>
      <c r="EPP23" s="582"/>
      <c r="EPQ23" s="582"/>
      <c r="EPR23" s="582"/>
      <c r="EPS23" s="582"/>
      <c r="EPT23" s="582"/>
      <c r="EPU23" s="582"/>
      <c r="EPV23" s="582"/>
      <c r="EPW23" s="582"/>
      <c r="EPX23" s="582"/>
      <c r="EPY23" s="582"/>
      <c r="EPZ23" s="582"/>
      <c r="EQA23" s="582"/>
      <c r="EQB23" s="582"/>
      <c r="EQC23" s="582"/>
      <c r="EQD23" s="582"/>
      <c r="EQE23" s="582"/>
      <c r="EQF23" s="582"/>
      <c r="EQG23" s="582"/>
      <c r="EQH23" s="582"/>
      <c r="EQI23" s="582"/>
      <c r="EQJ23" s="582"/>
      <c r="EQK23" s="582"/>
      <c r="EQL23" s="582"/>
      <c r="EQM23" s="582"/>
      <c r="EQN23" s="582"/>
      <c r="EQO23" s="582"/>
      <c r="EQP23" s="582"/>
      <c r="EQQ23" s="582"/>
      <c r="EQR23" s="582"/>
      <c r="EQS23" s="582"/>
      <c r="EQT23" s="582"/>
      <c r="EQU23" s="582"/>
      <c r="EQV23" s="582"/>
      <c r="EQW23" s="582"/>
      <c r="EQX23" s="582"/>
      <c r="EQY23" s="582"/>
      <c r="EQZ23" s="582"/>
      <c r="ERA23" s="582"/>
      <c r="ERB23" s="582"/>
      <c r="ERC23" s="582"/>
      <c r="ERD23" s="582"/>
      <c r="ERE23" s="582"/>
      <c r="ERF23" s="582"/>
      <c r="ERG23" s="582"/>
      <c r="ERH23" s="582"/>
      <c r="ERI23" s="582"/>
      <c r="ERJ23" s="582"/>
      <c r="ERK23" s="582"/>
      <c r="ERL23" s="582"/>
      <c r="ERM23" s="582"/>
      <c r="ERN23" s="582"/>
      <c r="ERO23" s="582"/>
      <c r="ERP23" s="582"/>
      <c r="ERQ23" s="582"/>
      <c r="ERR23" s="582"/>
      <c r="ERS23" s="582"/>
      <c r="ERT23" s="582"/>
      <c r="ERU23" s="582"/>
      <c r="ERV23" s="582"/>
      <c r="ERW23" s="582"/>
      <c r="ERX23" s="582"/>
      <c r="ERY23" s="582"/>
      <c r="ERZ23" s="582"/>
      <c r="ESA23" s="582"/>
      <c r="ESB23" s="582"/>
      <c r="ESC23" s="582"/>
      <c r="ESD23" s="582"/>
      <c r="ESE23" s="582"/>
      <c r="ESF23" s="582"/>
      <c r="ESG23" s="582"/>
      <c r="ESH23" s="582"/>
      <c r="ESI23" s="582"/>
      <c r="ESJ23" s="582"/>
      <c r="ESK23" s="582"/>
      <c r="ESL23" s="582"/>
      <c r="ESM23" s="582"/>
      <c r="ESN23" s="582"/>
      <c r="ESO23" s="582"/>
      <c r="ESP23" s="582"/>
      <c r="ESQ23" s="582"/>
      <c r="ESR23" s="582"/>
      <c r="ESS23" s="582"/>
      <c r="EST23" s="582"/>
      <c r="ESU23" s="582"/>
      <c r="ESV23" s="582"/>
      <c r="ESW23" s="582"/>
      <c r="ESX23" s="582"/>
      <c r="ESY23" s="582"/>
      <c r="ESZ23" s="582"/>
      <c r="ETA23" s="582"/>
      <c r="ETB23" s="582"/>
      <c r="ETC23" s="582"/>
      <c r="ETD23" s="582"/>
      <c r="ETE23" s="582"/>
      <c r="ETF23" s="582"/>
      <c r="ETG23" s="582"/>
      <c r="ETH23" s="582"/>
      <c r="ETI23" s="582"/>
      <c r="ETJ23" s="582"/>
      <c r="ETK23" s="582"/>
      <c r="ETL23" s="582"/>
      <c r="ETM23" s="582"/>
      <c r="ETN23" s="582"/>
      <c r="ETO23" s="582"/>
      <c r="ETP23" s="582"/>
      <c r="ETQ23" s="582"/>
      <c r="ETR23" s="582"/>
      <c r="ETS23" s="582"/>
      <c r="ETT23" s="582"/>
      <c r="ETU23" s="582"/>
      <c r="ETV23" s="582"/>
      <c r="ETW23" s="582"/>
      <c r="ETX23" s="582"/>
      <c r="ETY23" s="582"/>
      <c r="ETZ23" s="582"/>
      <c r="EUA23" s="582"/>
      <c r="EUB23" s="582"/>
      <c r="EUC23" s="582"/>
      <c r="EUD23" s="582"/>
      <c r="EUE23" s="582"/>
      <c r="EUF23" s="582"/>
      <c r="EUG23" s="582"/>
      <c r="EUH23" s="582"/>
      <c r="EUI23" s="582"/>
      <c r="EUJ23" s="582"/>
      <c r="EUK23" s="582"/>
      <c r="EUL23" s="582"/>
      <c r="EUM23" s="582"/>
      <c r="EUN23" s="582"/>
      <c r="EUO23" s="582"/>
      <c r="EUP23" s="582"/>
      <c r="EUQ23" s="582"/>
      <c r="EUR23" s="582"/>
      <c r="EUS23" s="582"/>
      <c r="EUT23" s="582"/>
      <c r="EUU23" s="582"/>
      <c r="EUV23" s="582"/>
      <c r="EUW23" s="582"/>
      <c r="EUX23" s="582"/>
      <c r="EUY23" s="582"/>
      <c r="EUZ23" s="582"/>
      <c r="EVA23" s="582"/>
      <c r="EVB23" s="582"/>
      <c r="EVC23" s="582"/>
      <c r="EVD23" s="582"/>
      <c r="EVE23" s="582"/>
      <c r="EVF23" s="582"/>
      <c r="EVG23" s="582"/>
      <c r="EVH23" s="582"/>
      <c r="EVI23" s="582"/>
      <c r="EVJ23" s="582"/>
      <c r="EVK23" s="582"/>
      <c r="EVL23" s="582"/>
      <c r="EVM23" s="582"/>
      <c r="EVN23" s="582"/>
      <c r="EVO23" s="582"/>
      <c r="EVP23" s="582"/>
      <c r="EVQ23" s="582"/>
      <c r="EVR23" s="582"/>
      <c r="EVS23" s="582"/>
      <c r="EVT23" s="582"/>
      <c r="EVU23" s="582"/>
      <c r="EVV23" s="582"/>
      <c r="EVW23" s="582"/>
      <c r="EVX23" s="582"/>
      <c r="EVY23" s="582"/>
      <c r="EVZ23" s="582"/>
      <c r="EWA23" s="582"/>
      <c r="EWB23" s="582"/>
      <c r="EWC23" s="582"/>
      <c r="EWD23" s="582"/>
      <c r="EWE23" s="582"/>
      <c r="EWF23" s="582"/>
      <c r="EWG23" s="582"/>
      <c r="EWH23" s="582"/>
      <c r="EWI23" s="582"/>
      <c r="EWJ23" s="582"/>
      <c r="EWK23" s="582"/>
      <c r="EWL23" s="582"/>
      <c r="EWM23" s="582"/>
      <c r="EWN23" s="582"/>
      <c r="EWO23" s="582"/>
      <c r="EWP23" s="582"/>
      <c r="EWQ23" s="582"/>
      <c r="EWR23" s="582"/>
      <c r="EWS23" s="582"/>
      <c r="EWT23" s="582"/>
      <c r="EWU23" s="582"/>
      <c r="EWV23" s="582"/>
      <c r="EWW23" s="582"/>
      <c r="EWX23" s="582"/>
      <c r="EWY23" s="582"/>
      <c r="EWZ23" s="582"/>
      <c r="EXA23" s="582"/>
      <c r="EXB23" s="582"/>
      <c r="EXC23" s="582"/>
      <c r="EXD23" s="582"/>
      <c r="EXE23" s="582"/>
      <c r="EXF23" s="582"/>
      <c r="EXG23" s="582"/>
      <c r="EXH23" s="582"/>
      <c r="EXI23" s="582"/>
      <c r="EXJ23" s="582"/>
      <c r="EXK23" s="582"/>
      <c r="EXL23" s="582"/>
      <c r="EXM23" s="582"/>
      <c r="EXN23" s="582"/>
      <c r="EXO23" s="582"/>
      <c r="EXP23" s="582"/>
      <c r="EXQ23" s="582"/>
      <c r="EXR23" s="582"/>
      <c r="EXS23" s="582"/>
      <c r="EXT23" s="582"/>
      <c r="EXU23" s="582"/>
      <c r="EXV23" s="582"/>
      <c r="EXW23" s="582"/>
      <c r="EXX23" s="582"/>
      <c r="EXY23" s="582"/>
      <c r="EXZ23" s="582"/>
      <c r="EYA23" s="582"/>
      <c r="EYB23" s="582"/>
      <c r="EYC23" s="582"/>
      <c r="EYD23" s="582"/>
      <c r="EYE23" s="582"/>
      <c r="EYF23" s="582"/>
      <c r="EYG23" s="582"/>
      <c r="EYH23" s="582"/>
      <c r="EYI23" s="582"/>
      <c r="EYJ23" s="582"/>
      <c r="EYK23" s="582"/>
      <c r="EYL23" s="582"/>
      <c r="EYM23" s="582"/>
      <c r="EYN23" s="582"/>
      <c r="EYO23" s="582"/>
      <c r="EYP23" s="582"/>
      <c r="EYQ23" s="582"/>
      <c r="EYR23" s="582"/>
      <c r="EYS23" s="582"/>
      <c r="EYT23" s="582"/>
      <c r="EYU23" s="582"/>
      <c r="EYV23" s="582"/>
      <c r="EYW23" s="582"/>
      <c r="EYX23" s="582"/>
      <c r="EYY23" s="582"/>
      <c r="EYZ23" s="582"/>
      <c r="EZA23" s="582"/>
      <c r="EZB23" s="582"/>
      <c r="EZC23" s="582"/>
      <c r="EZD23" s="582"/>
      <c r="EZE23" s="582"/>
      <c r="EZF23" s="582"/>
      <c r="EZG23" s="582"/>
      <c r="EZH23" s="582"/>
      <c r="EZI23" s="582"/>
      <c r="EZJ23" s="582"/>
      <c r="EZK23" s="582"/>
      <c r="EZL23" s="582"/>
      <c r="EZM23" s="582"/>
      <c r="EZN23" s="582"/>
      <c r="EZO23" s="582"/>
      <c r="EZP23" s="582"/>
      <c r="EZQ23" s="582"/>
      <c r="EZR23" s="582"/>
      <c r="EZS23" s="582"/>
      <c r="EZT23" s="582"/>
      <c r="EZU23" s="582"/>
      <c r="EZV23" s="582"/>
      <c r="EZW23" s="582"/>
      <c r="EZX23" s="582"/>
      <c r="EZY23" s="582"/>
      <c r="EZZ23" s="582"/>
      <c r="FAA23" s="582"/>
      <c r="FAB23" s="582"/>
      <c r="FAC23" s="582"/>
      <c r="FAD23" s="582"/>
      <c r="FAE23" s="582"/>
      <c r="FAF23" s="582"/>
      <c r="FAG23" s="582"/>
      <c r="FAH23" s="582"/>
      <c r="FAI23" s="582"/>
      <c r="FAJ23" s="582"/>
      <c r="FAK23" s="582"/>
      <c r="FAL23" s="582"/>
      <c r="FAM23" s="582"/>
      <c r="FAN23" s="582"/>
      <c r="FAO23" s="582"/>
      <c r="FAP23" s="582"/>
      <c r="FAQ23" s="582"/>
      <c r="FAR23" s="582"/>
      <c r="FAS23" s="582"/>
      <c r="FAT23" s="582"/>
      <c r="FAU23" s="582"/>
      <c r="FAV23" s="582"/>
      <c r="FAW23" s="582"/>
      <c r="FAX23" s="582"/>
      <c r="FAY23" s="582"/>
      <c r="FAZ23" s="582"/>
      <c r="FBA23" s="582"/>
      <c r="FBB23" s="582"/>
      <c r="FBC23" s="582"/>
      <c r="FBD23" s="582"/>
      <c r="FBE23" s="582"/>
      <c r="FBF23" s="582"/>
      <c r="FBG23" s="582"/>
      <c r="FBH23" s="582"/>
      <c r="FBI23" s="582"/>
      <c r="FBJ23" s="582"/>
      <c r="FBK23" s="582"/>
      <c r="FBL23" s="582"/>
      <c r="FBM23" s="582"/>
      <c r="FBN23" s="582"/>
      <c r="FBO23" s="582"/>
      <c r="FBP23" s="582"/>
      <c r="FBQ23" s="582"/>
      <c r="FBR23" s="582"/>
      <c r="FBS23" s="582"/>
      <c r="FBT23" s="582"/>
      <c r="FBU23" s="582"/>
      <c r="FBV23" s="582"/>
      <c r="FBW23" s="582"/>
      <c r="FBX23" s="582"/>
      <c r="FBY23" s="582"/>
      <c r="FBZ23" s="582"/>
      <c r="FCA23" s="582"/>
      <c r="FCB23" s="582"/>
      <c r="FCC23" s="582"/>
      <c r="FCD23" s="582"/>
      <c r="FCE23" s="582"/>
      <c r="FCF23" s="582"/>
      <c r="FCG23" s="582"/>
      <c r="FCH23" s="582"/>
      <c r="FCI23" s="582"/>
      <c r="FCJ23" s="582"/>
      <c r="FCK23" s="582"/>
      <c r="FCL23" s="582"/>
      <c r="FCM23" s="582"/>
      <c r="FCN23" s="582"/>
      <c r="FCO23" s="582"/>
      <c r="FCP23" s="582"/>
      <c r="FCQ23" s="582"/>
      <c r="FCR23" s="582"/>
      <c r="FCS23" s="582"/>
      <c r="FCT23" s="582"/>
      <c r="FCU23" s="582"/>
      <c r="FCV23" s="582"/>
      <c r="FCW23" s="582"/>
      <c r="FCX23" s="582"/>
      <c r="FCY23" s="582"/>
      <c r="FCZ23" s="582"/>
      <c r="FDA23" s="582"/>
      <c r="FDB23" s="582"/>
      <c r="FDC23" s="582"/>
      <c r="FDD23" s="582"/>
      <c r="FDE23" s="582"/>
      <c r="FDF23" s="582"/>
      <c r="FDG23" s="582"/>
      <c r="FDH23" s="582"/>
      <c r="FDI23" s="582"/>
      <c r="FDJ23" s="582"/>
      <c r="FDK23" s="582"/>
      <c r="FDL23" s="582"/>
      <c r="FDM23" s="582"/>
      <c r="FDN23" s="582"/>
      <c r="FDO23" s="582"/>
      <c r="FDP23" s="582"/>
      <c r="FDQ23" s="582"/>
      <c r="FDR23" s="582"/>
      <c r="FDS23" s="582"/>
      <c r="FDT23" s="582"/>
      <c r="FDU23" s="582"/>
      <c r="FDV23" s="582"/>
      <c r="FDW23" s="582"/>
      <c r="FDX23" s="582"/>
      <c r="FDY23" s="582"/>
      <c r="FDZ23" s="582"/>
      <c r="FEA23" s="582"/>
      <c r="FEB23" s="582"/>
      <c r="FEC23" s="582"/>
      <c r="FED23" s="582"/>
      <c r="FEE23" s="582"/>
      <c r="FEF23" s="582"/>
      <c r="FEG23" s="582"/>
      <c r="FEH23" s="582"/>
      <c r="FEI23" s="582"/>
      <c r="FEJ23" s="582"/>
      <c r="FEK23" s="582"/>
      <c r="FEL23" s="582"/>
      <c r="FEM23" s="582"/>
      <c r="FEN23" s="582"/>
      <c r="FEO23" s="582"/>
      <c r="FEP23" s="582"/>
      <c r="FEQ23" s="582"/>
      <c r="FER23" s="582"/>
      <c r="FES23" s="582"/>
      <c r="FET23" s="582"/>
      <c r="FEU23" s="582"/>
      <c r="FEV23" s="582"/>
      <c r="FEW23" s="582"/>
      <c r="FEX23" s="582"/>
      <c r="FEY23" s="582"/>
      <c r="FEZ23" s="582"/>
      <c r="FFA23" s="582"/>
      <c r="FFB23" s="582"/>
      <c r="FFC23" s="582"/>
      <c r="FFD23" s="582"/>
      <c r="FFE23" s="582"/>
      <c r="FFF23" s="582"/>
      <c r="FFG23" s="582"/>
      <c r="FFH23" s="582"/>
      <c r="FFI23" s="582"/>
      <c r="FFJ23" s="582"/>
      <c r="FFK23" s="582"/>
      <c r="FFL23" s="582"/>
      <c r="FFM23" s="582"/>
      <c r="FFN23" s="582"/>
      <c r="FFO23" s="582"/>
      <c r="FFP23" s="582"/>
      <c r="FFQ23" s="582"/>
      <c r="FFR23" s="582"/>
      <c r="FFS23" s="582"/>
      <c r="FFT23" s="582"/>
      <c r="FFU23" s="582"/>
      <c r="FFV23" s="582"/>
      <c r="FFW23" s="582"/>
      <c r="FFX23" s="582"/>
      <c r="FFY23" s="582"/>
      <c r="FFZ23" s="582"/>
      <c r="FGA23" s="582"/>
      <c r="FGB23" s="582"/>
      <c r="FGC23" s="582"/>
      <c r="FGD23" s="582"/>
      <c r="FGE23" s="582"/>
      <c r="FGF23" s="582"/>
      <c r="FGG23" s="582"/>
      <c r="FGH23" s="582"/>
      <c r="FGI23" s="582"/>
      <c r="FGJ23" s="582"/>
      <c r="FGK23" s="582"/>
      <c r="FGL23" s="582"/>
      <c r="FGM23" s="582"/>
      <c r="FGN23" s="582"/>
      <c r="FGO23" s="582"/>
      <c r="FGP23" s="582"/>
      <c r="FGQ23" s="582"/>
      <c r="FGR23" s="582"/>
      <c r="FGS23" s="582"/>
      <c r="FGT23" s="582"/>
      <c r="FGU23" s="582"/>
      <c r="FGV23" s="582"/>
      <c r="FGW23" s="582"/>
      <c r="FGX23" s="582"/>
      <c r="FGY23" s="582"/>
      <c r="FGZ23" s="582"/>
      <c r="FHA23" s="582"/>
      <c r="FHB23" s="582"/>
      <c r="FHC23" s="582"/>
      <c r="FHD23" s="582"/>
      <c r="FHE23" s="582"/>
      <c r="FHF23" s="582"/>
      <c r="FHG23" s="582"/>
      <c r="FHH23" s="582"/>
      <c r="FHI23" s="582"/>
      <c r="FHJ23" s="582"/>
      <c r="FHK23" s="582"/>
      <c r="FHL23" s="582"/>
      <c r="FHM23" s="582"/>
      <c r="FHN23" s="582"/>
      <c r="FHO23" s="582"/>
      <c r="FHP23" s="582"/>
      <c r="FHQ23" s="582"/>
      <c r="FHR23" s="582"/>
      <c r="FHS23" s="582"/>
      <c r="FHT23" s="582"/>
      <c r="FHU23" s="582"/>
      <c r="FHV23" s="582"/>
      <c r="FHW23" s="582"/>
      <c r="FHX23" s="582"/>
      <c r="FHY23" s="582"/>
      <c r="FHZ23" s="582"/>
      <c r="FIA23" s="582"/>
      <c r="FIB23" s="582"/>
      <c r="FIC23" s="582"/>
      <c r="FID23" s="582"/>
      <c r="FIE23" s="582"/>
      <c r="FIF23" s="582"/>
      <c r="FIG23" s="582"/>
      <c r="FIH23" s="582"/>
      <c r="FII23" s="582"/>
      <c r="FIJ23" s="582"/>
      <c r="FIK23" s="582"/>
      <c r="FIL23" s="582"/>
      <c r="FIM23" s="582"/>
      <c r="FIN23" s="582"/>
      <c r="FIO23" s="582"/>
      <c r="FIP23" s="582"/>
      <c r="FIQ23" s="582"/>
      <c r="FIR23" s="582"/>
      <c r="FIS23" s="582"/>
      <c r="FIT23" s="582"/>
      <c r="FIU23" s="582"/>
      <c r="FIV23" s="582"/>
      <c r="FIW23" s="582"/>
      <c r="FIX23" s="582"/>
      <c r="FIY23" s="582"/>
      <c r="FIZ23" s="582"/>
      <c r="FJA23" s="582"/>
      <c r="FJB23" s="582"/>
      <c r="FJC23" s="582"/>
      <c r="FJD23" s="582"/>
      <c r="FJE23" s="582"/>
      <c r="FJF23" s="582"/>
      <c r="FJG23" s="582"/>
      <c r="FJH23" s="582"/>
      <c r="FJI23" s="582"/>
      <c r="FJJ23" s="582"/>
      <c r="FJK23" s="582"/>
      <c r="FJL23" s="582"/>
      <c r="FJM23" s="582"/>
      <c r="FJN23" s="582"/>
      <c r="FJO23" s="582"/>
      <c r="FJP23" s="582"/>
      <c r="FJQ23" s="582"/>
      <c r="FJR23" s="582"/>
      <c r="FJS23" s="582"/>
      <c r="FJT23" s="582"/>
      <c r="FJU23" s="582"/>
      <c r="FJV23" s="582"/>
      <c r="FJW23" s="582"/>
      <c r="FJX23" s="582"/>
      <c r="FJY23" s="582"/>
      <c r="FJZ23" s="582"/>
      <c r="FKA23" s="582"/>
      <c r="FKB23" s="582"/>
      <c r="FKC23" s="582"/>
      <c r="FKD23" s="582"/>
      <c r="FKE23" s="582"/>
      <c r="FKF23" s="582"/>
      <c r="FKG23" s="582"/>
      <c r="FKH23" s="582"/>
      <c r="FKI23" s="582"/>
      <c r="FKJ23" s="582"/>
      <c r="FKK23" s="582"/>
      <c r="FKL23" s="582"/>
      <c r="FKM23" s="582"/>
      <c r="FKN23" s="582"/>
      <c r="FKO23" s="582"/>
      <c r="FKP23" s="582"/>
      <c r="FKQ23" s="582"/>
      <c r="FKR23" s="582"/>
      <c r="FKS23" s="582"/>
      <c r="FKT23" s="582"/>
      <c r="FKU23" s="582"/>
      <c r="FKV23" s="582"/>
      <c r="FKW23" s="582"/>
      <c r="FKX23" s="582"/>
      <c r="FKY23" s="582"/>
      <c r="FKZ23" s="582"/>
      <c r="FLA23" s="582"/>
      <c r="FLB23" s="582"/>
      <c r="FLC23" s="582"/>
      <c r="FLD23" s="582"/>
      <c r="FLE23" s="582"/>
      <c r="FLF23" s="582"/>
      <c r="FLG23" s="582"/>
      <c r="FLH23" s="582"/>
      <c r="FLI23" s="582"/>
      <c r="FLJ23" s="582"/>
      <c r="FLK23" s="582"/>
      <c r="FLL23" s="582"/>
      <c r="FLM23" s="582"/>
      <c r="FLN23" s="582"/>
      <c r="FLO23" s="582"/>
      <c r="FLP23" s="582"/>
      <c r="FLQ23" s="582"/>
      <c r="FLR23" s="582"/>
      <c r="FLS23" s="582"/>
      <c r="FLT23" s="582"/>
      <c r="FLU23" s="582"/>
      <c r="FLV23" s="582"/>
      <c r="FLW23" s="582"/>
      <c r="FLX23" s="582"/>
      <c r="FLY23" s="582"/>
      <c r="FLZ23" s="582"/>
      <c r="FMA23" s="582"/>
      <c r="FMB23" s="582"/>
      <c r="FMC23" s="582"/>
      <c r="FMD23" s="582"/>
      <c r="FME23" s="582"/>
      <c r="FMF23" s="582"/>
      <c r="FMG23" s="582"/>
      <c r="FMH23" s="582"/>
      <c r="FMI23" s="582"/>
      <c r="FMJ23" s="582"/>
      <c r="FMK23" s="582"/>
      <c r="FML23" s="582"/>
      <c r="FMM23" s="582"/>
      <c r="FMN23" s="582"/>
      <c r="FMO23" s="582"/>
      <c r="FMP23" s="582"/>
      <c r="FMQ23" s="582"/>
      <c r="FMR23" s="582"/>
      <c r="FMS23" s="582"/>
      <c r="FMT23" s="582"/>
      <c r="FMU23" s="582"/>
      <c r="FMV23" s="582"/>
      <c r="FMW23" s="582"/>
      <c r="FMX23" s="582"/>
      <c r="FMY23" s="582"/>
      <c r="FMZ23" s="582"/>
      <c r="FNA23" s="582"/>
      <c r="FNB23" s="582"/>
      <c r="FNC23" s="582"/>
      <c r="FND23" s="582"/>
      <c r="FNE23" s="582"/>
      <c r="FNF23" s="582"/>
      <c r="FNG23" s="582"/>
      <c r="FNH23" s="582"/>
      <c r="FNI23" s="582"/>
      <c r="FNJ23" s="582"/>
      <c r="FNK23" s="582"/>
      <c r="FNL23" s="582"/>
      <c r="FNM23" s="582"/>
      <c r="FNN23" s="582"/>
      <c r="FNO23" s="582"/>
      <c r="FNP23" s="582"/>
      <c r="FNQ23" s="582"/>
      <c r="FNR23" s="582"/>
      <c r="FNS23" s="582"/>
      <c r="FNT23" s="582"/>
      <c r="FNU23" s="582"/>
      <c r="FNV23" s="582"/>
      <c r="FNW23" s="582"/>
      <c r="FNX23" s="582"/>
      <c r="FNY23" s="582"/>
      <c r="FNZ23" s="582"/>
      <c r="FOA23" s="582"/>
      <c r="FOB23" s="582"/>
      <c r="FOC23" s="582"/>
      <c r="FOD23" s="582"/>
      <c r="FOE23" s="582"/>
      <c r="FOF23" s="582"/>
      <c r="FOG23" s="582"/>
      <c r="FOH23" s="582"/>
      <c r="FOI23" s="582"/>
      <c r="FOJ23" s="582"/>
      <c r="FOK23" s="582"/>
      <c r="FOL23" s="582"/>
      <c r="FOM23" s="582"/>
      <c r="FON23" s="582"/>
      <c r="FOO23" s="582"/>
      <c r="FOP23" s="582"/>
      <c r="FOQ23" s="582"/>
      <c r="FOR23" s="582"/>
      <c r="FOS23" s="582"/>
      <c r="FOT23" s="582"/>
      <c r="FOU23" s="582"/>
      <c r="FOV23" s="582"/>
      <c r="FOW23" s="582"/>
      <c r="FOX23" s="582"/>
      <c r="FOY23" s="582"/>
      <c r="FOZ23" s="582"/>
      <c r="FPA23" s="582"/>
      <c r="FPB23" s="582"/>
      <c r="FPC23" s="582"/>
      <c r="FPD23" s="582"/>
      <c r="FPE23" s="582"/>
      <c r="FPF23" s="582"/>
      <c r="FPG23" s="582"/>
      <c r="FPH23" s="582"/>
      <c r="FPI23" s="582"/>
      <c r="FPJ23" s="582"/>
      <c r="FPK23" s="582"/>
      <c r="FPL23" s="582"/>
      <c r="FPM23" s="582"/>
      <c r="FPN23" s="582"/>
      <c r="FPO23" s="582"/>
      <c r="FPP23" s="582"/>
      <c r="FPQ23" s="582"/>
      <c r="FPR23" s="582"/>
      <c r="FPS23" s="582"/>
      <c r="FPT23" s="582"/>
      <c r="FPU23" s="582"/>
      <c r="FPV23" s="582"/>
      <c r="FPW23" s="582"/>
      <c r="FPX23" s="582"/>
      <c r="FPY23" s="582"/>
      <c r="FPZ23" s="582"/>
      <c r="FQA23" s="582"/>
      <c r="FQB23" s="582"/>
      <c r="FQC23" s="582"/>
      <c r="FQD23" s="582"/>
      <c r="FQE23" s="582"/>
      <c r="FQF23" s="582"/>
      <c r="FQG23" s="582"/>
      <c r="FQH23" s="582"/>
      <c r="FQI23" s="582"/>
      <c r="FQJ23" s="582"/>
      <c r="FQK23" s="582"/>
      <c r="FQL23" s="582"/>
      <c r="FQM23" s="582"/>
      <c r="FQN23" s="582"/>
      <c r="FQO23" s="582"/>
      <c r="FQP23" s="582"/>
      <c r="FQQ23" s="582"/>
      <c r="FQR23" s="582"/>
      <c r="FQS23" s="582"/>
      <c r="FQT23" s="582"/>
      <c r="FQU23" s="582"/>
      <c r="FQV23" s="582"/>
      <c r="FQW23" s="582"/>
      <c r="FQX23" s="582"/>
      <c r="FQY23" s="582"/>
      <c r="FQZ23" s="582"/>
      <c r="FRA23" s="582"/>
      <c r="FRB23" s="582"/>
      <c r="FRC23" s="582"/>
      <c r="FRD23" s="582"/>
      <c r="FRE23" s="582"/>
      <c r="FRF23" s="582"/>
      <c r="FRG23" s="582"/>
      <c r="FRH23" s="582"/>
      <c r="FRI23" s="582"/>
      <c r="FRJ23" s="582"/>
      <c r="FRK23" s="582"/>
      <c r="FRL23" s="582"/>
      <c r="FRM23" s="582"/>
      <c r="FRN23" s="582"/>
      <c r="FRO23" s="582"/>
      <c r="FRP23" s="582"/>
      <c r="FRQ23" s="582"/>
      <c r="FRR23" s="582"/>
      <c r="FRS23" s="582"/>
      <c r="FRT23" s="582"/>
      <c r="FRU23" s="582"/>
      <c r="FRV23" s="582"/>
      <c r="FRW23" s="582"/>
      <c r="FRX23" s="582"/>
      <c r="FRY23" s="582"/>
      <c r="FRZ23" s="582"/>
      <c r="FSA23" s="582"/>
      <c r="FSB23" s="582"/>
      <c r="FSC23" s="582"/>
      <c r="FSD23" s="582"/>
      <c r="FSE23" s="582"/>
      <c r="FSF23" s="582"/>
      <c r="FSG23" s="582"/>
      <c r="FSH23" s="582"/>
      <c r="FSI23" s="582"/>
      <c r="FSJ23" s="582"/>
      <c r="FSK23" s="582"/>
      <c r="FSL23" s="582"/>
      <c r="FSM23" s="582"/>
      <c r="FSN23" s="582"/>
      <c r="FSO23" s="582"/>
      <c r="FSP23" s="582"/>
      <c r="FSQ23" s="582"/>
      <c r="FSR23" s="582"/>
      <c r="FSS23" s="582"/>
      <c r="FST23" s="582"/>
      <c r="FSU23" s="582"/>
      <c r="FSV23" s="582"/>
      <c r="FSW23" s="582"/>
      <c r="FSX23" s="582"/>
      <c r="FSY23" s="582"/>
      <c r="FSZ23" s="582"/>
      <c r="FTA23" s="582"/>
      <c r="FTB23" s="582"/>
      <c r="FTC23" s="582"/>
      <c r="FTD23" s="582"/>
      <c r="FTE23" s="582"/>
      <c r="FTF23" s="582"/>
      <c r="FTG23" s="582"/>
      <c r="FTH23" s="582"/>
      <c r="FTI23" s="582"/>
      <c r="FTJ23" s="582"/>
      <c r="FTK23" s="582"/>
      <c r="FTL23" s="582"/>
      <c r="FTM23" s="582"/>
      <c r="FTN23" s="582"/>
      <c r="FTO23" s="582"/>
      <c r="FTP23" s="582"/>
      <c r="FTQ23" s="582"/>
      <c r="FTR23" s="582"/>
      <c r="FTS23" s="582"/>
      <c r="FTT23" s="582"/>
      <c r="FTU23" s="582"/>
      <c r="FTV23" s="582"/>
      <c r="FTW23" s="582"/>
      <c r="FTX23" s="582"/>
      <c r="FTY23" s="582"/>
      <c r="FTZ23" s="582"/>
      <c r="FUA23" s="582"/>
      <c r="FUB23" s="582"/>
      <c r="FUC23" s="582"/>
      <c r="FUD23" s="582"/>
      <c r="FUE23" s="582"/>
      <c r="FUF23" s="582"/>
      <c r="FUG23" s="582"/>
      <c r="FUH23" s="582"/>
      <c r="FUI23" s="582"/>
      <c r="FUJ23" s="582"/>
      <c r="FUK23" s="582"/>
      <c r="FUL23" s="582"/>
      <c r="FUM23" s="582"/>
      <c r="FUN23" s="582"/>
      <c r="FUO23" s="582"/>
      <c r="FUP23" s="582"/>
      <c r="FUQ23" s="582"/>
      <c r="FUR23" s="582"/>
      <c r="FUS23" s="582"/>
      <c r="FUT23" s="582"/>
      <c r="FUU23" s="582"/>
      <c r="FUV23" s="582"/>
      <c r="FUW23" s="582"/>
      <c r="FUX23" s="582"/>
      <c r="FUY23" s="582"/>
      <c r="FUZ23" s="582"/>
      <c r="FVA23" s="582"/>
      <c r="FVB23" s="582"/>
      <c r="FVC23" s="582"/>
      <c r="FVD23" s="582"/>
      <c r="FVE23" s="582"/>
      <c r="FVF23" s="582"/>
      <c r="FVG23" s="582"/>
      <c r="FVH23" s="582"/>
      <c r="FVI23" s="582"/>
      <c r="FVJ23" s="582"/>
      <c r="FVK23" s="582"/>
      <c r="FVL23" s="582"/>
      <c r="FVM23" s="582"/>
      <c r="FVN23" s="582"/>
      <c r="FVO23" s="582"/>
      <c r="FVP23" s="582"/>
      <c r="FVQ23" s="582"/>
      <c r="FVR23" s="582"/>
      <c r="FVS23" s="582"/>
      <c r="FVT23" s="582"/>
      <c r="FVU23" s="582"/>
      <c r="FVV23" s="582"/>
      <c r="FVW23" s="582"/>
      <c r="FVX23" s="582"/>
      <c r="FVY23" s="582"/>
      <c r="FVZ23" s="582"/>
      <c r="FWA23" s="582"/>
      <c r="FWB23" s="582"/>
      <c r="FWC23" s="582"/>
      <c r="FWD23" s="582"/>
      <c r="FWE23" s="582"/>
      <c r="FWF23" s="582"/>
      <c r="FWG23" s="582"/>
      <c r="FWH23" s="582"/>
      <c r="FWI23" s="582"/>
      <c r="FWJ23" s="582"/>
      <c r="FWK23" s="582"/>
      <c r="FWL23" s="582"/>
      <c r="FWM23" s="582"/>
      <c r="FWN23" s="582"/>
      <c r="FWO23" s="582"/>
      <c r="FWP23" s="582"/>
      <c r="FWQ23" s="582"/>
      <c r="FWR23" s="582"/>
      <c r="FWS23" s="582"/>
      <c r="FWT23" s="582"/>
      <c r="FWU23" s="582"/>
      <c r="FWV23" s="582"/>
      <c r="FWW23" s="582"/>
      <c r="FWX23" s="582"/>
      <c r="FWY23" s="582"/>
      <c r="FWZ23" s="582"/>
      <c r="FXA23" s="582"/>
      <c r="FXB23" s="582"/>
      <c r="FXC23" s="582"/>
      <c r="FXD23" s="582"/>
      <c r="FXE23" s="582"/>
      <c r="FXF23" s="582"/>
      <c r="FXG23" s="582"/>
      <c r="FXH23" s="582"/>
      <c r="FXI23" s="582"/>
      <c r="FXJ23" s="582"/>
      <c r="FXK23" s="582"/>
      <c r="FXL23" s="582"/>
      <c r="FXM23" s="582"/>
      <c r="FXN23" s="582"/>
      <c r="FXO23" s="582"/>
      <c r="FXP23" s="582"/>
      <c r="FXQ23" s="582"/>
      <c r="FXR23" s="582"/>
      <c r="FXS23" s="582"/>
      <c r="FXT23" s="582"/>
      <c r="FXU23" s="582"/>
      <c r="FXV23" s="582"/>
      <c r="FXW23" s="582"/>
      <c r="FXX23" s="582"/>
      <c r="FXY23" s="582"/>
      <c r="FXZ23" s="582"/>
      <c r="FYA23" s="582"/>
      <c r="FYB23" s="582"/>
      <c r="FYC23" s="582"/>
      <c r="FYD23" s="582"/>
      <c r="FYE23" s="582"/>
      <c r="FYF23" s="582"/>
      <c r="FYG23" s="582"/>
      <c r="FYH23" s="582"/>
      <c r="FYI23" s="582"/>
      <c r="FYJ23" s="582"/>
      <c r="FYK23" s="582"/>
      <c r="FYL23" s="582"/>
      <c r="FYM23" s="582"/>
      <c r="FYN23" s="582"/>
      <c r="FYO23" s="582"/>
      <c r="FYP23" s="582"/>
      <c r="FYQ23" s="582"/>
      <c r="FYR23" s="582"/>
      <c r="FYS23" s="582"/>
      <c r="FYT23" s="582"/>
      <c r="FYU23" s="582"/>
      <c r="FYV23" s="582"/>
      <c r="FYW23" s="582"/>
      <c r="FYX23" s="582"/>
      <c r="FYY23" s="582"/>
      <c r="FYZ23" s="582"/>
      <c r="FZA23" s="582"/>
      <c r="FZB23" s="582"/>
      <c r="FZC23" s="582"/>
      <c r="FZD23" s="582"/>
      <c r="FZE23" s="582"/>
      <c r="FZF23" s="582"/>
      <c r="FZG23" s="582"/>
      <c r="FZH23" s="582"/>
      <c r="FZI23" s="582"/>
      <c r="FZJ23" s="582"/>
      <c r="FZK23" s="582"/>
      <c r="FZL23" s="582"/>
      <c r="FZM23" s="582"/>
      <c r="FZN23" s="582"/>
      <c r="FZO23" s="582"/>
      <c r="FZP23" s="582"/>
      <c r="FZQ23" s="582"/>
      <c r="FZR23" s="582"/>
      <c r="FZS23" s="582"/>
      <c r="FZT23" s="582"/>
      <c r="FZU23" s="582"/>
      <c r="FZV23" s="582"/>
      <c r="FZW23" s="582"/>
      <c r="FZX23" s="582"/>
      <c r="FZY23" s="582"/>
      <c r="FZZ23" s="582"/>
      <c r="GAA23" s="582"/>
      <c r="GAB23" s="582"/>
      <c r="GAC23" s="582"/>
      <c r="GAD23" s="582"/>
      <c r="GAE23" s="582"/>
      <c r="GAF23" s="582"/>
      <c r="GAG23" s="582"/>
      <c r="GAH23" s="582"/>
      <c r="GAI23" s="582"/>
      <c r="GAJ23" s="582"/>
      <c r="GAK23" s="582"/>
      <c r="GAL23" s="582"/>
      <c r="GAM23" s="582"/>
      <c r="GAN23" s="582"/>
      <c r="GAO23" s="582"/>
      <c r="GAP23" s="582"/>
      <c r="GAQ23" s="582"/>
      <c r="GAR23" s="582"/>
      <c r="GAS23" s="582"/>
      <c r="GAT23" s="582"/>
      <c r="GAU23" s="582"/>
      <c r="GAV23" s="582"/>
      <c r="GAW23" s="582"/>
      <c r="GAX23" s="582"/>
      <c r="GAY23" s="582"/>
      <c r="GAZ23" s="582"/>
      <c r="GBA23" s="582"/>
      <c r="GBB23" s="582"/>
      <c r="GBC23" s="582"/>
      <c r="GBD23" s="582"/>
      <c r="GBE23" s="582"/>
      <c r="GBF23" s="582"/>
      <c r="GBG23" s="582"/>
      <c r="GBH23" s="582"/>
      <c r="GBI23" s="582"/>
      <c r="GBJ23" s="582"/>
      <c r="GBK23" s="582"/>
      <c r="GBL23" s="582"/>
      <c r="GBM23" s="582"/>
      <c r="GBN23" s="582"/>
      <c r="GBO23" s="582"/>
      <c r="GBP23" s="582"/>
      <c r="GBQ23" s="582"/>
      <c r="GBR23" s="582"/>
      <c r="GBS23" s="582"/>
      <c r="GBT23" s="582"/>
      <c r="GBU23" s="582"/>
      <c r="GBV23" s="582"/>
      <c r="GBW23" s="582"/>
      <c r="GBX23" s="582"/>
      <c r="GBY23" s="582"/>
      <c r="GBZ23" s="582"/>
      <c r="GCA23" s="582"/>
      <c r="GCB23" s="582"/>
      <c r="GCC23" s="582"/>
      <c r="GCD23" s="582"/>
      <c r="GCE23" s="582"/>
      <c r="GCF23" s="582"/>
      <c r="GCG23" s="582"/>
      <c r="GCH23" s="582"/>
      <c r="GCI23" s="582"/>
      <c r="GCJ23" s="582"/>
      <c r="GCK23" s="582"/>
      <c r="GCL23" s="582"/>
      <c r="GCM23" s="582"/>
      <c r="GCN23" s="582"/>
      <c r="GCO23" s="582"/>
      <c r="GCP23" s="582"/>
      <c r="GCQ23" s="582"/>
      <c r="GCR23" s="582"/>
      <c r="GCS23" s="582"/>
      <c r="GCT23" s="582"/>
      <c r="GCU23" s="582"/>
      <c r="GCV23" s="582"/>
      <c r="GCW23" s="582"/>
      <c r="GCX23" s="582"/>
      <c r="GCY23" s="582"/>
      <c r="GCZ23" s="582"/>
      <c r="GDA23" s="582"/>
      <c r="GDB23" s="582"/>
      <c r="GDC23" s="582"/>
      <c r="GDD23" s="582"/>
      <c r="GDE23" s="582"/>
      <c r="GDF23" s="582"/>
      <c r="GDG23" s="582"/>
      <c r="GDH23" s="582"/>
      <c r="GDI23" s="582"/>
      <c r="GDJ23" s="582"/>
      <c r="GDK23" s="582"/>
      <c r="GDL23" s="582"/>
      <c r="GDM23" s="582"/>
      <c r="GDN23" s="582"/>
      <c r="GDO23" s="582"/>
      <c r="GDP23" s="582"/>
      <c r="GDQ23" s="582"/>
      <c r="GDR23" s="582"/>
      <c r="GDS23" s="582"/>
      <c r="GDT23" s="582"/>
      <c r="GDU23" s="582"/>
      <c r="GDV23" s="582"/>
      <c r="GDW23" s="582"/>
      <c r="GDX23" s="582"/>
      <c r="GDY23" s="582"/>
      <c r="GDZ23" s="582"/>
      <c r="GEA23" s="582"/>
      <c r="GEB23" s="582"/>
      <c r="GEC23" s="582"/>
      <c r="GED23" s="582"/>
      <c r="GEE23" s="582"/>
      <c r="GEF23" s="582"/>
      <c r="GEG23" s="582"/>
      <c r="GEH23" s="582"/>
      <c r="GEI23" s="582"/>
      <c r="GEJ23" s="582"/>
      <c r="GEK23" s="582"/>
      <c r="GEL23" s="582"/>
      <c r="GEM23" s="582"/>
      <c r="GEN23" s="582"/>
      <c r="GEO23" s="582"/>
      <c r="GEP23" s="582"/>
      <c r="GEQ23" s="582"/>
      <c r="GER23" s="582"/>
      <c r="GES23" s="582"/>
      <c r="GET23" s="582"/>
      <c r="GEU23" s="582"/>
      <c r="GEV23" s="582"/>
      <c r="GEW23" s="582"/>
      <c r="GEX23" s="582"/>
      <c r="GEY23" s="582"/>
      <c r="GEZ23" s="582"/>
      <c r="GFA23" s="582"/>
      <c r="GFB23" s="582"/>
      <c r="GFC23" s="582"/>
      <c r="GFD23" s="582"/>
      <c r="GFE23" s="582"/>
      <c r="GFF23" s="582"/>
      <c r="GFG23" s="582"/>
      <c r="GFH23" s="582"/>
      <c r="GFI23" s="582"/>
      <c r="GFJ23" s="582"/>
      <c r="GFK23" s="582"/>
      <c r="GFL23" s="582"/>
      <c r="GFM23" s="582"/>
      <c r="GFN23" s="582"/>
      <c r="GFO23" s="582"/>
      <c r="GFP23" s="582"/>
      <c r="GFQ23" s="582"/>
      <c r="GFR23" s="582"/>
      <c r="GFS23" s="582"/>
      <c r="GFT23" s="582"/>
      <c r="GFU23" s="582"/>
      <c r="GFV23" s="582"/>
      <c r="GFW23" s="582"/>
      <c r="GFX23" s="582"/>
      <c r="GFY23" s="582"/>
      <c r="GFZ23" s="582"/>
      <c r="GGA23" s="582"/>
      <c r="GGB23" s="582"/>
      <c r="GGC23" s="582"/>
      <c r="GGD23" s="582"/>
      <c r="GGE23" s="582"/>
      <c r="GGF23" s="582"/>
      <c r="GGG23" s="582"/>
      <c r="GGH23" s="582"/>
      <c r="GGI23" s="582"/>
      <c r="GGJ23" s="582"/>
      <c r="GGK23" s="582"/>
      <c r="GGL23" s="582"/>
      <c r="GGM23" s="582"/>
      <c r="GGN23" s="582"/>
      <c r="GGO23" s="582"/>
      <c r="GGP23" s="582"/>
      <c r="GGQ23" s="582"/>
      <c r="GGR23" s="582"/>
      <c r="GGS23" s="582"/>
      <c r="GGT23" s="582"/>
      <c r="GGU23" s="582"/>
      <c r="GGV23" s="582"/>
      <c r="GGW23" s="582"/>
      <c r="GGX23" s="582"/>
      <c r="GGY23" s="582"/>
      <c r="GGZ23" s="582"/>
      <c r="GHA23" s="582"/>
      <c r="GHB23" s="582"/>
      <c r="GHC23" s="582"/>
      <c r="GHD23" s="582"/>
      <c r="GHE23" s="582"/>
      <c r="GHF23" s="582"/>
      <c r="GHG23" s="582"/>
      <c r="GHH23" s="582"/>
      <c r="GHI23" s="582"/>
      <c r="GHJ23" s="582"/>
      <c r="GHK23" s="582"/>
      <c r="GHL23" s="582"/>
      <c r="GHM23" s="582"/>
      <c r="GHN23" s="582"/>
      <c r="GHO23" s="582"/>
      <c r="GHP23" s="582"/>
      <c r="GHQ23" s="582"/>
      <c r="GHR23" s="582"/>
      <c r="GHS23" s="582"/>
      <c r="GHT23" s="582"/>
      <c r="GHU23" s="582"/>
      <c r="GHV23" s="582"/>
      <c r="GHW23" s="582"/>
      <c r="GHX23" s="582"/>
      <c r="GHY23" s="582"/>
      <c r="GHZ23" s="582"/>
      <c r="GIA23" s="582"/>
      <c r="GIB23" s="582"/>
      <c r="GIC23" s="582"/>
      <c r="GID23" s="582"/>
      <c r="GIE23" s="582"/>
      <c r="GIF23" s="582"/>
      <c r="GIG23" s="582"/>
      <c r="GIH23" s="582"/>
      <c r="GII23" s="582"/>
      <c r="GIJ23" s="582"/>
      <c r="GIK23" s="582"/>
      <c r="GIL23" s="582"/>
      <c r="GIM23" s="582"/>
      <c r="GIN23" s="582"/>
      <c r="GIO23" s="582"/>
      <c r="GIP23" s="582"/>
      <c r="GIQ23" s="582"/>
      <c r="GIR23" s="582"/>
      <c r="GIS23" s="582"/>
      <c r="GIT23" s="582"/>
      <c r="GIU23" s="582"/>
      <c r="GIV23" s="582"/>
      <c r="GIW23" s="582"/>
      <c r="GIX23" s="582"/>
      <c r="GIY23" s="582"/>
      <c r="GIZ23" s="582"/>
      <c r="GJA23" s="582"/>
      <c r="GJB23" s="582"/>
      <c r="GJC23" s="582"/>
      <c r="GJD23" s="582"/>
      <c r="GJE23" s="582"/>
      <c r="GJF23" s="582"/>
      <c r="GJG23" s="582"/>
      <c r="GJH23" s="582"/>
      <c r="GJI23" s="582"/>
      <c r="GJJ23" s="582"/>
      <c r="GJK23" s="582"/>
      <c r="GJL23" s="582"/>
      <c r="GJM23" s="582"/>
      <c r="GJN23" s="582"/>
      <c r="GJO23" s="582"/>
      <c r="GJP23" s="582"/>
      <c r="GJQ23" s="582"/>
      <c r="GJR23" s="582"/>
      <c r="GJS23" s="582"/>
      <c r="GJT23" s="582"/>
      <c r="GJU23" s="582"/>
      <c r="GJV23" s="582"/>
      <c r="GJW23" s="582"/>
      <c r="GJX23" s="582"/>
      <c r="GJY23" s="582"/>
      <c r="GJZ23" s="582"/>
      <c r="GKA23" s="582"/>
      <c r="GKB23" s="582"/>
      <c r="GKC23" s="582"/>
      <c r="GKD23" s="582"/>
      <c r="GKE23" s="582"/>
      <c r="GKF23" s="582"/>
      <c r="GKG23" s="582"/>
      <c r="GKH23" s="582"/>
      <c r="GKI23" s="582"/>
      <c r="GKJ23" s="582"/>
      <c r="GKK23" s="582"/>
      <c r="GKL23" s="582"/>
      <c r="GKM23" s="582"/>
      <c r="GKN23" s="582"/>
      <c r="GKO23" s="582"/>
      <c r="GKP23" s="582"/>
      <c r="GKQ23" s="582"/>
      <c r="GKR23" s="582"/>
      <c r="GKS23" s="582"/>
      <c r="GKT23" s="582"/>
      <c r="GKU23" s="582"/>
      <c r="GKV23" s="582"/>
      <c r="GKW23" s="582"/>
      <c r="GKX23" s="582"/>
      <c r="GKY23" s="582"/>
      <c r="GKZ23" s="582"/>
      <c r="GLA23" s="582"/>
      <c r="GLB23" s="582"/>
      <c r="GLC23" s="582"/>
      <c r="GLD23" s="582"/>
      <c r="GLE23" s="582"/>
      <c r="GLF23" s="582"/>
      <c r="GLG23" s="582"/>
      <c r="GLH23" s="582"/>
      <c r="GLI23" s="582"/>
      <c r="GLJ23" s="582"/>
      <c r="GLK23" s="582"/>
      <c r="GLL23" s="582"/>
      <c r="GLM23" s="582"/>
      <c r="GLN23" s="582"/>
      <c r="GLO23" s="582"/>
      <c r="GLP23" s="582"/>
      <c r="GLQ23" s="582"/>
      <c r="GLR23" s="582"/>
      <c r="GLS23" s="582"/>
      <c r="GLT23" s="582"/>
      <c r="GLU23" s="582"/>
      <c r="GLV23" s="582"/>
      <c r="GLW23" s="582"/>
      <c r="GLX23" s="582"/>
      <c r="GLY23" s="582"/>
      <c r="GLZ23" s="582"/>
      <c r="GMA23" s="582"/>
      <c r="GMB23" s="582"/>
      <c r="GMC23" s="582"/>
      <c r="GMD23" s="582"/>
      <c r="GME23" s="582"/>
      <c r="GMF23" s="582"/>
      <c r="GMG23" s="582"/>
      <c r="GMH23" s="582"/>
      <c r="GMI23" s="582"/>
      <c r="GMJ23" s="582"/>
      <c r="GMK23" s="582"/>
      <c r="GML23" s="582"/>
      <c r="GMM23" s="582"/>
      <c r="GMN23" s="582"/>
      <c r="GMO23" s="582"/>
      <c r="GMP23" s="582"/>
      <c r="GMQ23" s="582"/>
      <c r="GMR23" s="582"/>
      <c r="GMS23" s="582"/>
      <c r="GMT23" s="582"/>
      <c r="GMU23" s="582"/>
      <c r="GMV23" s="582"/>
      <c r="GMW23" s="582"/>
      <c r="GMX23" s="582"/>
      <c r="GMY23" s="582"/>
      <c r="GMZ23" s="582"/>
      <c r="GNA23" s="582"/>
      <c r="GNB23" s="582"/>
      <c r="GNC23" s="582"/>
      <c r="GND23" s="582"/>
      <c r="GNE23" s="582"/>
      <c r="GNF23" s="582"/>
      <c r="GNG23" s="582"/>
      <c r="GNH23" s="582"/>
      <c r="GNI23" s="582"/>
      <c r="GNJ23" s="582"/>
      <c r="GNK23" s="582"/>
      <c r="GNL23" s="582"/>
      <c r="GNM23" s="582"/>
      <c r="GNN23" s="582"/>
      <c r="GNO23" s="582"/>
      <c r="GNP23" s="582"/>
      <c r="GNQ23" s="582"/>
      <c r="GNR23" s="582"/>
      <c r="GNS23" s="582"/>
      <c r="GNT23" s="582"/>
      <c r="GNU23" s="582"/>
      <c r="GNV23" s="582"/>
      <c r="GNW23" s="582"/>
      <c r="GNX23" s="582"/>
      <c r="GNY23" s="582"/>
      <c r="GNZ23" s="582"/>
      <c r="GOA23" s="582"/>
      <c r="GOB23" s="582"/>
      <c r="GOC23" s="582"/>
      <c r="GOD23" s="582"/>
      <c r="GOE23" s="582"/>
      <c r="GOF23" s="582"/>
      <c r="GOG23" s="582"/>
      <c r="GOH23" s="582"/>
      <c r="GOI23" s="582"/>
      <c r="GOJ23" s="582"/>
      <c r="GOK23" s="582"/>
      <c r="GOL23" s="582"/>
      <c r="GOM23" s="582"/>
      <c r="GON23" s="582"/>
      <c r="GOO23" s="582"/>
      <c r="GOP23" s="582"/>
      <c r="GOQ23" s="582"/>
      <c r="GOR23" s="582"/>
      <c r="GOS23" s="582"/>
      <c r="GOT23" s="582"/>
      <c r="GOU23" s="582"/>
      <c r="GOV23" s="582"/>
      <c r="GOW23" s="582"/>
      <c r="GOX23" s="582"/>
      <c r="GOY23" s="582"/>
      <c r="GOZ23" s="582"/>
      <c r="GPA23" s="582"/>
      <c r="GPB23" s="582"/>
      <c r="GPC23" s="582"/>
      <c r="GPD23" s="582"/>
      <c r="GPE23" s="582"/>
      <c r="GPF23" s="582"/>
      <c r="GPG23" s="582"/>
      <c r="GPH23" s="582"/>
      <c r="GPI23" s="582"/>
      <c r="GPJ23" s="582"/>
      <c r="GPK23" s="582"/>
      <c r="GPL23" s="582"/>
      <c r="GPM23" s="582"/>
      <c r="GPN23" s="582"/>
      <c r="GPO23" s="582"/>
      <c r="GPP23" s="582"/>
      <c r="GPQ23" s="582"/>
      <c r="GPR23" s="582"/>
      <c r="GPS23" s="582"/>
      <c r="GPT23" s="582"/>
      <c r="GPU23" s="582"/>
      <c r="GPV23" s="582"/>
      <c r="GPW23" s="582"/>
      <c r="GPX23" s="582"/>
      <c r="GPY23" s="582"/>
      <c r="GPZ23" s="582"/>
      <c r="GQA23" s="582"/>
      <c r="GQB23" s="582"/>
      <c r="GQC23" s="582"/>
      <c r="GQD23" s="582"/>
      <c r="GQE23" s="582"/>
      <c r="GQF23" s="582"/>
      <c r="GQG23" s="582"/>
      <c r="GQH23" s="582"/>
      <c r="GQI23" s="582"/>
      <c r="GQJ23" s="582"/>
      <c r="GQK23" s="582"/>
      <c r="GQL23" s="582"/>
      <c r="GQM23" s="582"/>
      <c r="GQN23" s="582"/>
      <c r="GQO23" s="582"/>
      <c r="GQP23" s="582"/>
      <c r="GQQ23" s="582"/>
      <c r="GQR23" s="582"/>
      <c r="GQS23" s="582"/>
      <c r="GQT23" s="582"/>
      <c r="GQU23" s="582"/>
      <c r="GQV23" s="582"/>
      <c r="GQW23" s="582"/>
      <c r="GQX23" s="582"/>
      <c r="GQY23" s="582"/>
      <c r="GQZ23" s="582"/>
      <c r="GRA23" s="582"/>
      <c r="GRB23" s="582"/>
      <c r="GRC23" s="582"/>
      <c r="GRD23" s="582"/>
      <c r="GRE23" s="582"/>
      <c r="GRF23" s="582"/>
      <c r="GRG23" s="582"/>
      <c r="GRH23" s="582"/>
      <c r="GRI23" s="582"/>
      <c r="GRJ23" s="582"/>
      <c r="GRK23" s="582"/>
      <c r="GRL23" s="582"/>
      <c r="GRM23" s="582"/>
      <c r="GRN23" s="582"/>
      <c r="GRO23" s="582"/>
      <c r="GRP23" s="582"/>
      <c r="GRQ23" s="582"/>
      <c r="GRR23" s="582"/>
      <c r="GRS23" s="582"/>
      <c r="GRT23" s="582"/>
      <c r="GRU23" s="582"/>
      <c r="GRV23" s="582"/>
      <c r="GRW23" s="582"/>
      <c r="GRX23" s="582"/>
      <c r="GRY23" s="582"/>
      <c r="GRZ23" s="582"/>
      <c r="GSA23" s="582"/>
      <c r="GSB23" s="582"/>
      <c r="GSC23" s="582"/>
      <c r="GSD23" s="582"/>
      <c r="GSE23" s="582"/>
      <c r="GSF23" s="582"/>
      <c r="GSG23" s="582"/>
      <c r="GSH23" s="582"/>
      <c r="GSI23" s="582"/>
      <c r="GSJ23" s="582"/>
      <c r="GSK23" s="582"/>
      <c r="GSL23" s="582"/>
      <c r="GSM23" s="582"/>
      <c r="GSN23" s="582"/>
      <c r="GSO23" s="582"/>
      <c r="GSP23" s="582"/>
      <c r="GSQ23" s="582"/>
      <c r="GSR23" s="582"/>
      <c r="GSS23" s="582"/>
      <c r="GST23" s="582"/>
      <c r="GSU23" s="582"/>
      <c r="GSV23" s="582"/>
      <c r="GSW23" s="582"/>
      <c r="GSX23" s="582"/>
      <c r="GSY23" s="582"/>
      <c r="GSZ23" s="582"/>
      <c r="GTA23" s="582"/>
      <c r="GTB23" s="582"/>
      <c r="GTC23" s="582"/>
      <c r="GTD23" s="582"/>
      <c r="GTE23" s="582"/>
      <c r="GTF23" s="582"/>
      <c r="GTG23" s="582"/>
      <c r="GTH23" s="582"/>
      <c r="GTI23" s="582"/>
      <c r="GTJ23" s="582"/>
      <c r="GTK23" s="582"/>
      <c r="GTL23" s="582"/>
      <c r="GTM23" s="582"/>
      <c r="GTN23" s="582"/>
      <c r="GTO23" s="582"/>
      <c r="GTP23" s="582"/>
      <c r="GTQ23" s="582"/>
      <c r="GTR23" s="582"/>
      <c r="GTS23" s="582"/>
      <c r="GTT23" s="582"/>
      <c r="GTU23" s="582"/>
      <c r="GTV23" s="582"/>
      <c r="GTW23" s="582"/>
      <c r="GTX23" s="582"/>
      <c r="GTY23" s="582"/>
      <c r="GTZ23" s="582"/>
      <c r="GUA23" s="582"/>
      <c r="GUB23" s="582"/>
      <c r="GUC23" s="582"/>
    </row>
    <row r="24" spans="1:5281" ht="19.5" customHeight="1" thickBot="1">
      <c r="A24" s="594">
        <v>5</v>
      </c>
      <c r="B24" s="595" t="s">
        <v>774</v>
      </c>
      <c r="C24" s="610">
        <v>1508182.7579999999</v>
      </c>
      <c r="D24" s="611">
        <v>0</v>
      </c>
      <c r="E24" s="611">
        <v>0</v>
      </c>
      <c r="F24" s="598">
        <f t="shared" si="1"/>
        <v>1508182.7579999999</v>
      </c>
      <c r="H24" s="614"/>
      <c r="I24" s="614"/>
      <c r="J24" s="614"/>
    </row>
    <row r="25" spans="1:5281" ht="19.5" customHeight="1" thickBot="1">
      <c r="A25" s="594">
        <v>6</v>
      </c>
      <c r="B25" s="595" t="s">
        <v>775</v>
      </c>
      <c r="C25" s="610">
        <v>1023817.688</v>
      </c>
      <c r="D25" s="611">
        <v>0</v>
      </c>
      <c r="E25" s="611">
        <v>0</v>
      </c>
      <c r="F25" s="598">
        <f t="shared" si="1"/>
        <v>1023817.688</v>
      </c>
      <c r="H25" s="614"/>
      <c r="I25" s="614"/>
      <c r="J25" s="614"/>
    </row>
    <row r="26" spans="1:5281" ht="19.5" customHeight="1" thickBot="1">
      <c r="A26" s="594">
        <v>7</v>
      </c>
      <c r="B26" s="595" t="s">
        <v>776</v>
      </c>
      <c r="C26" s="610">
        <v>1209673.777</v>
      </c>
      <c r="D26" s="611">
        <v>0</v>
      </c>
      <c r="E26" s="611">
        <v>0</v>
      </c>
      <c r="F26" s="598">
        <f t="shared" si="1"/>
        <v>1209673.777</v>
      </c>
      <c r="H26" s="614"/>
      <c r="I26" s="614"/>
      <c r="J26" s="614"/>
    </row>
    <row r="27" spans="1:5281" ht="19.5" customHeight="1" thickBot="1">
      <c r="A27" s="594">
        <v>8</v>
      </c>
      <c r="B27" s="595" t="s">
        <v>777</v>
      </c>
      <c r="C27" s="610">
        <v>721154.21600000001</v>
      </c>
      <c r="D27" s="611">
        <v>0</v>
      </c>
      <c r="E27" s="611">
        <v>0</v>
      </c>
      <c r="F27" s="598">
        <f t="shared" si="1"/>
        <v>721154.21600000001</v>
      </c>
      <c r="H27" s="614"/>
      <c r="I27" s="614"/>
      <c r="J27" s="614"/>
    </row>
    <row r="28" spans="1:5281" ht="21" customHeight="1" thickBot="1">
      <c r="A28" s="594">
        <v>9</v>
      </c>
      <c r="B28" s="595" t="s">
        <v>778</v>
      </c>
      <c r="C28" s="610">
        <v>747004.74100000004</v>
      </c>
      <c r="D28" s="611">
        <v>0</v>
      </c>
      <c r="E28" s="611">
        <v>0</v>
      </c>
      <c r="F28" s="598">
        <f t="shared" si="1"/>
        <v>747004.74100000004</v>
      </c>
      <c r="H28" s="614"/>
      <c r="I28" s="614"/>
      <c r="J28" s="614"/>
    </row>
    <row r="29" spans="1:5281" ht="21" customHeight="1" thickBot="1">
      <c r="A29" s="594">
        <v>10</v>
      </c>
      <c r="B29" s="600" t="s">
        <v>779</v>
      </c>
      <c r="C29" s="610">
        <v>272266.614</v>
      </c>
      <c r="D29" s="611">
        <v>0</v>
      </c>
      <c r="E29" s="611">
        <v>0</v>
      </c>
      <c r="F29" s="598">
        <f t="shared" si="1"/>
        <v>272266.614</v>
      </c>
      <c r="H29" s="614"/>
      <c r="I29" s="614"/>
      <c r="J29" s="614"/>
    </row>
    <row r="30" spans="1:5281" ht="21.75" thickBot="1">
      <c r="A30" s="3608" t="s">
        <v>49</v>
      </c>
      <c r="B30" s="3609" t="s">
        <v>49</v>
      </c>
      <c r="C30" s="601">
        <f>SUM(C20:C29)</f>
        <v>15661141.128999999</v>
      </c>
      <c r="D30" s="602">
        <f>SUM(D20:D29)</f>
        <v>922197.76399999997</v>
      </c>
      <c r="E30" s="602">
        <f>SUM(E20:E29)</f>
        <v>10729.5</v>
      </c>
      <c r="F30" s="603">
        <f>SUM(F20:F29)</f>
        <v>16594068.392999999</v>
      </c>
    </row>
    <row r="31" spans="1:5281" ht="18.75">
      <c r="B31" s="3586" t="s">
        <v>780</v>
      </c>
      <c r="C31" s="3586"/>
      <c r="D31" s="3586"/>
      <c r="E31" s="3586"/>
      <c r="F31" s="582"/>
    </row>
    <row r="32" spans="1:5281" ht="12.75">
      <c r="B32" s="582"/>
      <c r="C32" s="582"/>
      <c r="D32" s="582"/>
      <c r="E32" s="582"/>
      <c r="F32" s="582"/>
    </row>
    <row r="33" spans="2:6" ht="12.75">
      <c r="B33" s="582"/>
      <c r="C33" s="582"/>
      <c r="D33" s="582"/>
      <c r="E33" s="582"/>
      <c r="F33" s="582"/>
    </row>
    <row r="34" spans="2:6" ht="12.75">
      <c r="B34" s="582"/>
      <c r="C34" s="582"/>
      <c r="D34" s="582"/>
      <c r="E34" s="582"/>
      <c r="F34" s="582"/>
    </row>
    <row r="35" spans="2:6" ht="12.75">
      <c r="B35" s="582"/>
      <c r="C35" s="582"/>
      <c r="D35" s="582"/>
      <c r="E35" s="582"/>
      <c r="F35" s="582"/>
    </row>
    <row r="36" spans="2:6" ht="12.75">
      <c r="B36" s="582"/>
      <c r="C36" s="582"/>
      <c r="D36" s="582"/>
      <c r="E36" s="582"/>
      <c r="F36" s="582"/>
    </row>
    <row r="37" spans="2:6" ht="12.75">
      <c r="B37" s="582"/>
      <c r="C37" s="582"/>
      <c r="D37" s="582"/>
      <c r="E37" s="582"/>
      <c r="F37" s="582"/>
    </row>
    <row r="38" spans="2:6" ht="12.75">
      <c r="B38" s="582"/>
      <c r="C38" s="582"/>
      <c r="D38" s="582"/>
      <c r="E38" s="582"/>
      <c r="F38" s="582"/>
    </row>
    <row r="39" spans="2:6" ht="12.75">
      <c r="B39" s="582"/>
      <c r="C39" s="582"/>
      <c r="D39" s="582"/>
      <c r="E39" s="582"/>
      <c r="F39" s="582"/>
    </row>
    <row r="40" spans="2:6" ht="12.75">
      <c r="B40" s="582"/>
      <c r="C40" s="582"/>
      <c r="D40" s="582"/>
      <c r="E40" s="582"/>
      <c r="F40" s="582"/>
    </row>
    <row r="41" spans="2:6" ht="12.75">
      <c r="B41" s="582"/>
      <c r="C41" s="582"/>
      <c r="D41" s="582"/>
      <c r="E41" s="582"/>
      <c r="F41" s="582"/>
    </row>
    <row r="42" spans="2:6" ht="12.75">
      <c r="B42" s="582"/>
      <c r="C42" s="582"/>
      <c r="D42" s="582"/>
      <c r="E42" s="582"/>
      <c r="F42" s="582"/>
    </row>
    <row r="43" spans="2:6" ht="12.75">
      <c r="B43" s="582"/>
      <c r="C43" s="582"/>
      <c r="D43" s="582"/>
      <c r="E43" s="582"/>
      <c r="F43" s="582"/>
    </row>
    <row r="44" spans="2:6" ht="12.75">
      <c r="B44" s="582"/>
      <c r="C44" s="582"/>
      <c r="D44" s="582"/>
      <c r="E44" s="582"/>
      <c r="F44" s="582"/>
    </row>
    <row r="45" spans="2:6" ht="12.75">
      <c r="B45" s="582"/>
      <c r="C45" s="582"/>
      <c r="D45" s="582"/>
      <c r="E45" s="582"/>
      <c r="F45" s="582"/>
    </row>
    <row r="46" spans="2:6" ht="12.75">
      <c r="B46" s="582"/>
      <c r="C46" s="582"/>
      <c r="D46" s="582"/>
      <c r="E46" s="582"/>
      <c r="F46" s="582"/>
    </row>
    <row r="47" spans="2:6" ht="12.75">
      <c r="B47" s="582"/>
      <c r="C47" s="582"/>
      <c r="D47" s="582"/>
      <c r="E47" s="582"/>
      <c r="F47" s="582"/>
    </row>
    <row r="48" spans="2:6" ht="12.75">
      <c r="B48" s="582"/>
      <c r="C48" s="582"/>
      <c r="D48" s="582"/>
      <c r="E48" s="582"/>
      <c r="F48" s="582"/>
    </row>
    <row r="49" spans="2:6" ht="12.75">
      <c r="B49" s="582"/>
      <c r="C49" s="582"/>
      <c r="D49" s="582"/>
      <c r="E49" s="582"/>
      <c r="F49" s="582"/>
    </row>
    <row r="50" spans="2:6" ht="12.75">
      <c r="B50" s="582"/>
      <c r="C50" s="582"/>
      <c r="D50" s="582"/>
      <c r="E50" s="582"/>
      <c r="F50" s="582"/>
    </row>
    <row r="51" spans="2:6" ht="12.75">
      <c r="B51" s="582"/>
      <c r="C51" s="582"/>
      <c r="D51" s="582"/>
      <c r="E51" s="582"/>
      <c r="F51" s="582"/>
    </row>
    <row r="52" spans="2:6" ht="12.75">
      <c r="B52" s="582"/>
      <c r="C52" s="582"/>
      <c r="D52" s="582"/>
      <c r="E52" s="582"/>
      <c r="F52" s="582"/>
    </row>
    <row r="53" spans="2:6" ht="12.75">
      <c r="B53" s="582"/>
      <c r="C53" s="582"/>
      <c r="D53" s="582"/>
      <c r="E53" s="582"/>
      <c r="F53" s="582"/>
    </row>
    <row r="54" spans="2:6" ht="12.75">
      <c r="B54" s="582"/>
      <c r="C54" s="582"/>
      <c r="D54" s="582"/>
      <c r="E54" s="582"/>
      <c r="F54" s="582"/>
    </row>
    <row r="55" spans="2:6" ht="12.75">
      <c r="B55" s="582"/>
      <c r="C55" s="582"/>
      <c r="D55" s="582"/>
      <c r="E55" s="582"/>
      <c r="F55" s="582"/>
    </row>
    <row r="56" spans="2:6" ht="12.75">
      <c r="B56" s="582"/>
      <c r="C56" s="582"/>
      <c r="D56" s="582"/>
      <c r="E56" s="582"/>
      <c r="F56" s="582"/>
    </row>
    <row r="57" spans="2:6" ht="12.75">
      <c r="B57" s="582"/>
      <c r="C57" s="582"/>
      <c r="D57" s="582"/>
      <c r="E57" s="582"/>
      <c r="F57" s="582"/>
    </row>
    <row r="58" spans="2:6" ht="12.75">
      <c r="B58" s="582"/>
      <c r="C58" s="582"/>
      <c r="D58" s="582"/>
      <c r="E58" s="582"/>
      <c r="F58" s="582"/>
    </row>
    <row r="59" spans="2:6" ht="12.75">
      <c r="B59" s="582"/>
      <c r="C59" s="582"/>
      <c r="D59" s="582"/>
      <c r="E59" s="582"/>
      <c r="F59" s="582"/>
    </row>
    <row r="60" spans="2:6" ht="12.75">
      <c r="B60" s="582"/>
      <c r="C60" s="582"/>
      <c r="D60" s="582"/>
      <c r="E60" s="582"/>
      <c r="F60" s="582"/>
    </row>
    <row r="61" spans="2:6" ht="12.75">
      <c r="B61" s="582"/>
      <c r="C61" s="582"/>
      <c r="D61" s="582"/>
      <c r="E61" s="582"/>
      <c r="F61" s="582"/>
    </row>
    <row r="62" spans="2:6" ht="12.75">
      <c r="B62" s="582"/>
      <c r="C62" s="582"/>
      <c r="D62" s="582"/>
      <c r="E62" s="582"/>
      <c r="F62" s="582"/>
    </row>
    <row r="63" spans="2:6" ht="12.75">
      <c r="B63" s="582"/>
      <c r="C63" s="582"/>
      <c r="D63" s="582"/>
      <c r="E63" s="582"/>
      <c r="F63" s="582"/>
    </row>
    <row r="64" spans="2:6" ht="12.75">
      <c r="B64" s="582"/>
      <c r="C64" s="582"/>
      <c r="D64" s="582"/>
      <c r="E64" s="582"/>
      <c r="F64" s="582"/>
    </row>
    <row r="65" spans="2:6" ht="12.75">
      <c r="B65" s="582"/>
      <c r="C65" s="582"/>
      <c r="D65" s="582"/>
      <c r="E65" s="582"/>
      <c r="F65" s="582"/>
    </row>
    <row r="66" spans="2:6" ht="12.75">
      <c r="B66" s="582"/>
      <c r="C66" s="582"/>
      <c r="D66" s="582"/>
      <c r="E66" s="582"/>
      <c r="F66" s="582"/>
    </row>
    <row r="67" spans="2:6" ht="12.75">
      <c r="B67" s="582"/>
      <c r="C67" s="582"/>
      <c r="D67" s="582"/>
      <c r="E67" s="582"/>
      <c r="F67" s="582"/>
    </row>
    <row r="68" spans="2:6" ht="12.75">
      <c r="B68" s="582"/>
      <c r="C68" s="582"/>
      <c r="D68" s="582"/>
      <c r="E68" s="582"/>
      <c r="F68" s="582"/>
    </row>
    <row r="69" spans="2:6" ht="12.75">
      <c r="B69" s="582"/>
      <c r="C69" s="582"/>
      <c r="D69" s="582"/>
      <c r="E69" s="582"/>
      <c r="F69" s="582"/>
    </row>
    <row r="70" spans="2:6" ht="12.75">
      <c r="B70" s="582"/>
      <c r="C70" s="582"/>
      <c r="D70" s="582"/>
      <c r="E70" s="582"/>
      <c r="F70" s="582"/>
    </row>
    <row r="71" spans="2:6" ht="12.75">
      <c r="B71" s="582"/>
      <c r="C71" s="582"/>
      <c r="D71" s="582"/>
      <c r="E71" s="582"/>
      <c r="F71" s="582"/>
    </row>
    <row r="72" spans="2:6" ht="12.75">
      <c r="B72" s="582"/>
      <c r="C72" s="582"/>
      <c r="D72" s="582"/>
      <c r="E72" s="582"/>
      <c r="F72" s="582"/>
    </row>
    <row r="73" spans="2:6" ht="12.75">
      <c r="B73" s="582"/>
      <c r="C73" s="582"/>
      <c r="D73" s="582"/>
      <c r="E73" s="582"/>
      <c r="F73" s="582"/>
    </row>
    <row r="74" spans="2:6" ht="12.75">
      <c r="B74" s="582"/>
      <c r="C74" s="582"/>
      <c r="D74" s="582"/>
      <c r="E74" s="582"/>
      <c r="F74" s="582"/>
    </row>
    <row r="75" spans="2:6" ht="12.75">
      <c r="B75" s="582"/>
      <c r="C75" s="582"/>
      <c r="D75" s="582"/>
      <c r="E75" s="582"/>
      <c r="F75" s="582"/>
    </row>
    <row r="76" spans="2:6" ht="12.75">
      <c r="B76" s="582"/>
      <c r="C76" s="582"/>
      <c r="D76" s="582"/>
      <c r="E76" s="582"/>
      <c r="F76" s="582"/>
    </row>
    <row r="77" spans="2:6" ht="12.75">
      <c r="B77" s="582"/>
      <c r="C77" s="582"/>
      <c r="D77" s="582"/>
      <c r="E77" s="582"/>
      <c r="F77" s="582"/>
    </row>
    <row r="78" spans="2:6" ht="12.75">
      <c r="B78" s="582"/>
      <c r="C78" s="582"/>
      <c r="D78" s="582"/>
      <c r="E78" s="582"/>
      <c r="F78" s="582"/>
    </row>
    <row r="79" spans="2:6" ht="12.75">
      <c r="B79" s="582"/>
      <c r="C79" s="582"/>
      <c r="D79" s="582"/>
      <c r="E79" s="582"/>
      <c r="F79" s="582"/>
    </row>
    <row r="80" spans="2:6" ht="12.75">
      <c r="B80" s="582"/>
      <c r="C80" s="582"/>
      <c r="D80" s="582"/>
      <c r="E80" s="582"/>
      <c r="F80" s="582"/>
    </row>
    <row r="81" spans="2:6" ht="12.75">
      <c r="B81" s="582"/>
      <c r="C81" s="582"/>
      <c r="D81" s="582"/>
      <c r="E81" s="582"/>
      <c r="F81" s="582"/>
    </row>
    <row r="82" spans="2:6" ht="12.75">
      <c r="B82" s="582"/>
      <c r="C82" s="582"/>
      <c r="D82" s="582"/>
      <c r="E82" s="582"/>
      <c r="F82" s="582"/>
    </row>
    <row r="83" spans="2:6" ht="12.75">
      <c r="B83" s="582"/>
      <c r="C83" s="582"/>
      <c r="D83" s="582"/>
      <c r="E83" s="582"/>
      <c r="F83" s="582"/>
    </row>
    <row r="84" spans="2:6" ht="12.75">
      <c r="B84" s="582"/>
      <c r="C84" s="582"/>
      <c r="D84" s="582"/>
      <c r="E84" s="582"/>
      <c r="F84" s="582"/>
    </row>
    <row r="85" spans="2:6" ht="12.75">
      <c r="B85" s="582"/>
      <c r="C85" s="582"/>
      <c r="D85" s="582"/>
      <c r="E85" s="582"/>
      <c r="F85" s="582"/>
    </row>
    <row r="86" spans="2:6" ht="12.75">
      <c r="B86" s="582"/>
      <c r="C86" s="582"/>
      <c r="D86" s="582"/>
      <c r="E86" s="582"/>
      <c r="F86" s="582"/>
    </row>
    <row r="87" spans="2:6" ht="12.75">
      <c r="B87" s="582"/>
      <c r="C87" s="582"/>
      <c r="D87" s="582"/>
      <c r="E87" s="582"/>
      <c r="F87" s="582"/>
    </row>
    <row r="88" spans="2:6" ht="12.75">
      <c r="B88" s="582"/>
      <c r="C88" s="582"/>
      <c r="D88" s="582"/>
      <c r="E88" s="582"/>
    </row>
    <row r="89" spans="2:6" ht="12.75">
      <c r="B89" s="582"/>
      <c r="C89" s="582"/>
      <c r="D89" s="582"/>
      <c r="E89" s="582"/>
    </row>
    <row r="90" spans="2:6" ht="12.75">
      <c r="B90" s="582"/>
      <c r="C90" s="582"/>
      <c r="D90" s="582"/>
      <c r="E90" s="582"/>
    </row>
    <row r="91" spans="2:6" ht="12.75">
      <c r="B91" s="582"/>
      <c r="C91" s="582"/>
      <c r="D91" s="582"/>
      <c r="E91" s="582"/>
    </row>
    <row r="92" spans="2:6" ht="12.75">
      <c r="B92" s="582"/>
      <c r="C92" s="582"/>
      <c r="D92" s="582"/>
      <c r="E92" s="582"/>
    </row>
    <row r="93" spans="2:6" ht="12.75">
      <c r="B93" s="582"/>
      <c r="C93" s="582"/>
      <c r="D93" s="582"/>
      <c r="E93" s="582"/>
    </row>
    <row r="94" spans="2:6" ht="12.75">
      <c r="B94" s="582"/>
      <c r="C94" s="582"/>
      <c r="D94" s="582"/>
      <c r="E94" s="582"/>
    </row>
    <row r="95" spans="2:6" ht="12.75">
      <c r="B95" s="582"/>
      <c r="C95" s="582"/>
      <c r="D95" s="582"/>
      <c r="E95" s="582"/>
    </row>
    <row r="96" spans="2:6" ht="12.75">
      <c r="B96" s="582"/>
      <c r="C96" s="582"/>
      <c r="D96" s="582"/>
      <c r="E96" s="582"/>
    </row>
    <row r="97" spans="2:5" ht="12.75">
      <c r="B97" s="582"/>
      <c r="C97" s="582"/>
      <c r="D97" s="582"/>
      <c r="E97" s="582"/>
    </row>
    <row r="98" spans="2:5" ht="12.75">
      <c r="B98" s="582"/>
      <c r="C98" s="582"/>
      <c r="D98" s="582"/>
      <c r="E98" s="582"/>
    </row>
    <row r="99" spans="2:5" ht="12.75">
      <c r="B99" s="582"/>
      <c r="C99" s="582"/>
      <c r="D99" s="582"/>
      <c r="E99" s="582"/>
    </row>
    <row r="100" spans="2:5" ht="12.75">
      <c r="B100" s="582"/>
      <c r="C100" s="582"/>
      <c r="D100" s="582"/>
      <c r="E100" s="582"/>
    </row>
    <row r="101" spans="2:5" ht="12.75">
      <c r="B101" s="582"/>
      <c r="C101" s="582"/>
      <c r="D101" s="582"/>
      <c r="E101" s="582"/>
    </row>
    <row r="102" spans="2:5" ht="12.75">
      <c r="B102" s="582"/>
      <c r="C102" s="582"/>
      <c r="D102" s="582"/>
      <c r="E102" s="582"/>
    </row>
    <row r="103" spans="2:5" ht="12.75">
      <c r="B103" s="582"/>
      <c r="C103" s="582"/>
      <c r="D103" s="582"/>
      <c r="E103" s="582"/>
    </row>
    <row r="104" spans="2:5" ht="12.75">
      <c r="B104" s="582"/>
      <c r="C104" s="582"/>
      <c r="D104" s="582"/>
      <c r="E104" s="582"/>
    </row>
    <row r="105" spans="2:5" ht="12.75">
      <c r="B105" s="582"/>
      <c r="C105" s="582"/>
      <c r="D105" s="582"/>
      <c r="E105" s="582"/>
    </row>
    <row r="106" spans="2:5" ht="12.75">
      <c r="B106" s="582"/>
      <c r="C106" s="582"/>
      <c r="D106" s="582"/>
      <c r="E106" s="582"/>
    </row>
    <row r="107" spans="2:5" ht="12.75">
      <c r="B107" s="582"/>
      <c r="C107" s="582"/>
      <c r="D107" s="582"/>
      <c r="E107" s="582"/>
    </row>
    <row r="108" spans="2:5" ht="12.75">
      <c r="B108" s="582"/>
      <c r="C108" s="582"/>
      <c r="D108" s="582"/>
      <c r="E108" s="582"/>
    </row>
    <row r="109" spans="2:5" ht="12.75">
      <c r="B109" s="582"/>
      <c r="C109" s="582"/>
      <c r="D109" s="582"/>
      <c r="E109" s="582"/>
    </row>
    <row r="110" spans="2:5" ht="12.75">
      <c r="B110" s="582"/>
      <c r="C110" s="582"/>
      <c r="D110" s="582"/>
      <c r="E110" s="582"/>
    </row>
    <row r="111" spans="2:5" ht="12.75">
      <c r="B111" s="582"/>
      <c r="C111" s="582"/>
      <c r="D111" s="582"/>
      <c r="E111" s="582"/>
    </row>
    <row r="112" spans="2:5" ht="12.75">
      <c r="B112" s="582"/>
      <c r="C112" s="582"/>
      <c r="D112" s="582"/>
      <c r="E112" s="582"/>
    </row>
    <row r="113" spans="2:5" ht="12.75">
      <c r="B113" s="582"/>
      <c r="C113" s="582"/>
      <c r="D113" s="582"/>
      <c r="E113" s="582"/>
    </row>
    <row r="114" spans="2:5" ht="12.75">
      <c r="B114" s="582"/>
      <c r="C114" s="582"/>
      <c r="D114" s="582"/>
      <c r="E114" s="582"/>
    </row>
    <row r="115" spans="2:5" ht="12.75">
      <c r="B115" s="582"/>
      <c r="C115" s="582"/>
      <c r="D115" s="582"/>
      <c r="E115" s="582"/>
    </row>
    <row r="116" spans="2:5" ht="12.75">
      <c r="B116" s="582"/>
      <c r="C116" s="582"/>
      <c r="D116" s="582"/>
      <c r="E116" s="582"/>
    </row>
    <row r="117" spans="2:5" ht="12.75">
      <c r="B117" s="582"/>
      <c r="C117" s="582"/>
      <c r="D117" s="582"/>
      <c r="E117" s="582"/>
    </row>
    <row r="118" spans="2:5" ht="12.75">
      <c r="B118" s="582"/>
      <c r="C118" s="582"/>
      <c r="D118" s="582"/>
      <c r="E118" s="582"/>
    </row>
    <row r="119" spans="2:5" ht="12.75">
      <c r="B119" s="582"/>
      <c r="C119" s="582"/>
      <c r="D119" s="582"/>
      <c r="E119" s="582"/>
    </row>
    <row r="120" spans="2:5" ht="12.75">
      <c r="B120" s="582"/>
      <c r="C120" s="582"/>
      <c r="D120" s="582"/>
      <c r="E120" s="582"/>
    </row>
    <row r="121" spans="2:5" ht="12.75">
      <c r="B121" s="582"/>
      <c r="C121" s="582"/>
      <c r="D121" s="582"/>
      <c r="E121" s="582"/>
    </row>
    <row r="122" spans="2:5" ht="12.75">
      <c r="B122" s="582"/>
      <c r="C122" s="582"/>
      <c r="D122" s="582"/>
      <c r="E122" s="582"/>
    </row>
    <row r="123" spans="2:5" ht="12.75">
      <c r="B123" s="582"/>
      <c r="C123" s="582"/>
      <c r="D123" s="582"/>
      <c r="E123" s="582"/>
    </row>
    <row r="124" spans="2:5" ht="12.75">
      <c r="B124" s="582"/>
      <c r="C124" s="582"/>
      <c r="D124" s="582"/>
      <c r="E124" s="582"/>
    </row>
    <row r="125" spans="2:5" ht="12.75">
      <c r="B125" s="582"/>
      <c r="C125" s="582"/>
      <c r="D125" s="582"/>
      <c r="E125" s="582"/>
    </row>
    <row r="126" spans="2:5" ht="12.75">
      <c r="B126" s="582"/>
      <c r="C126" s="582"/>
      <c r="D126" s="582"/>
      <c r="E126" s="582"/>
    </row>
    <row r="127" spans="2:5" ht="12.75">
      <c r="B127" s="582"/>
      <c r="C127" s="582"/>
      <c r="D127" s="582"/>
      <c r="E127" s="582"/>
    </row>
    <row r="128" spans="2:5" ht="12.75">
      <c r="B128" s="582"/>
      <c r="C128" s="582"/>
      <c r="D128" s="582"/>
      <c r="E128" s="582"/>
    </row>
    <row r="129" spans="2:5" ht="12.75">
      <c r="B129" s="582"/>
      <c r="C129" s="582"/>
      <c r="D129" s="582"/>
      <c r="E129" s="582"/>
    </row>
    <row r="130" spans="2:5" ht="12.75">
      <c r="B130" s="582"/>
      <c r="C130" s="582"/>
      <c r="D130" s="582"/>
      <c r="E130" s="582"/>
    </row>
    <row r="131" spans="2:5" ht="12.75">
      <c r="B131" s="582"/>
      <c r="C131" s="582"/>
      <c r="D131" s="582"/>
      <c r="E131" s="582"/>
    </row>
    <row r="132" spans="2:5" ht="12.75">
      <c r="B132" s="582"/>
      <c r="C132" s="582"/>
      <c r="D132" s="582"/>
      <c r="E132" s="582"/>
    </row>
    <row r="133" spans="2:5" ht="12.75">
      <c r="B133" s="582"/>
      <c r="C133" s="582"/>
      <c r="D133" s="582"/>
      <c r="E133" s="582"/>
    </row>
    <row r="134" spans="2:5" ht="12.75">
      <c r="B134" s="582"/>
      <c r="C134" s="582"/>
      <c r="D134" s="582"/>
      <c r="E134" s="582"/>
    </row>
    <row r="135" spans="2:5" ht="12.75">
      <c r="B135" s="582"/>
      <c r="C135" s="582"/>
      <c r="D135" s="582"/>
      <c r="E135" s="582"/>
    </row>
    <row r="136" spans="2:5" ht="12.75">
      <c r="B136" s="582"/>
      <c r="C136" s="582"/>
      <c r="D136" s="582"/>
      <c r="E136" s="582"/>
    </row>
    <row r="137" spans="2:5" ht="12.75">
      <c r="B137" s="582"/>
      <c r="C137" s="582"/>
      <c r="D137" s="582"/>
      <c r="E137" s="582"/>
    </row>
    <row r="138" spans="2:5" ht="12.75">
      <c r="B138" s="582"/>
      <c r="C138" s="582"/>
      <c r="D138" s="582"/>
      <c r="E138" s="582"/>
    </row>
    <row r="139" spans="2:5" ht="12.75">
      <c r="B139" s="582"/>
      <c r="C139" s="582"/>
      <c r="D139" s="582"/>
      <c r="E139" s="582"/>
    </row>
    <row r="140" spans="2:5" ht="12.75">
      <c r="B140" s="582"/>
      <c r="C140" s="582"/>
      <c r="D140" s="582"/>
      <c r="E140" s="582"/>
    </row>
    <row r="141" spans="2:5" ht="12.75">
      <c r="B141" s="582"/>
      <c r="C141" s="582"/>
      <c r="D141" s="582"/>
      <c r="E141" s="582"/>
    </row>
    <row r="142" spans="2:5" ht="12.75">
      <c r="B142" s="582"/>
      <c r="C142" s="582"/>
      <c r="D142" s="582"/>
      <c r="E142" s="582"/>
    </row>
    <row r="143" spans="2:5" ht="12.75">
      <c r="B143" s="582"/>
      <c r="C143" s="582"/>
      <c r="D143" s="582"/>
      <c r="E143" s="582"/>
    </row>
    <row r="144" spans="2:5" ht="12.75">
      <c r="B144" s="582"/>
      <c r="C144" s="582"/>
      <c r="D144" s="582"/>
      <c r="E144" s="582"/>
    </row>
    <row r="145" spans="2:5" ht="12.75">
      <c r="B145" s="582"/>
      <c r="C145" s="582"/>
      <c r="D145" s="582"/>
      <c r="E145" s="582"/>
    </row>
    <row r="146" spans="2:5" ht="12.75">
      <c r="B146" s="582"/>
      <c r="C146" s="582"/>
      <c r="D146" s="582"/>
      <c r="E146" s="582"/>
    </row>
    <row r="147" spans="2:5">
      <c r="B147" s="582"/>
      <c r="D147" s="582"/>
    </row>
    <row r="148" spans="2:5">
      <c r="B148" s="582"/>
      <c r="D148" s="582"/>
    </row>
    <row r="149" spans="2:5">
      <c r="B149" s="582"/>
      <c r="D149" s="582"/>
    </row>
    <row r="150" spans="2:5">
      <c r="B150" s="582"/>
      <c r="D150" s="582"/>
    </row>
    <row r="151" spans="2:5">
      <c r="B151" s="582"/>
      <c r="D151" s="582"/>
    </row>
    <row r="152" spans="2:5">
      <c r="B152" s="582"/>
      <c r="D152" s="582"/>
    </row>
    <row r="153" spans="2:5">
      <c r="B153" s="582"/>
      <c r="D153" s="582"/>
    </row>
    <row r="154" spans="2:5">
      <c r="B154" s="582"/>
      <c r="D154" s="582"/>
    </row>
    <row r="155" spans="2:5">
      <c r="B155" s="582"/>
      <c r="D155" s="582"/>
    </row>
    <row r="156" spans="2:5">
      <c r="B156" s="582"/>
      <c r="D156" s="582"/>
    </row>
    <row r="157" spans="2:5">
      <c r="B157" s="582"/>
      <c r="D157" s="582"/>
    </row>
    <row r="158" spans="2:5">
      <c r="B158" s="582"/>
      <c r="D158" s="582"/>
    </row>
    <row r="159" spans="2:5">
      <c r="B159" s="582"/>
      <c r="D159" s="582"/>
    </row>
    <row r="160" spans="2:5">
      <c r="B160" s="582"/>
      <c r="D160" s="582"/>
    </row>
    <row r="161" spans="2:4">
      <c r="B161" s="582"/>
      <c r="D161" s="582"/>
    </row>
    <row r="162" spans="2:4">
      <c r="B162" s="582"/>
      <c r="D162" s="582"/>
    </row>
    <row r="163" spans="2:4">
      <c r="B163" s="582"/>
      <c r="D163" s="582"/>
    </row>
    <row r="164" spans="2:4">
      <c r="B164" s="582"/>
      <c r="D164" s="582"/>
    </row>
    <row r="165" spans="2:4">
      <c r="B165" s="582"/>
      <c r="D165" s="582"/>
    </row>
    <row r="166" spans="2:4">
      <c r="B166" s="582"/>
      <c r="D166" s="582"/>
    </row>
    <row r="167" spans="2:4">
      <c r="B167" s="582"/>
      <c r="D167" s="582"/>
    </row>
    <row r="168" spans="2:4">
      <c r="B168" s="582"/>
      <c r="D168" s="582"/>
    </row>
    <row r="169" spans="2:4">
      <c r="B169" s="582"/>
      <c r="D169" s="582"/>
    </row>
    <row r="170" spans="2:4">
      <c r="B170" s="582"/>
      <c r="D170" s="582"/>
    </row>
    <row r="171" spans="2:4">
      <c r="B171" s="582"/>
      <c r="D171" s="582"/>
    </row>
    <row r="172" spans="2:4">
      <c r="B172" s="582"/>
      <c r="D172" s="582"/>
    </row>
    <row r="173" spans="2:4">
      <c r="B173" s="582"/>
      <c r="D173" s="582"/>
    </row>
    <row r="174" spans="2:4">
      <c r="B174" s="582"/>
      <c r="D174" s="582"/>
    </row>
    <row r="175" spans="2:4">
      <c r="B175" s="582"/>
      <c r="D175" s="582"/>
    </row>
    <row r="176" spans="2:4">
      <c r="B176" s="582"/>
      <c r="D176" s="582"/>
    </row>
    <row r="177" spans="2:4">
      <c r="B177" s="582"/>
      <c r="D177" s="582"/>
    </row>
    <row r="178" spans="2:4">
      <c r="B178" s="582"/>
      <c r="D178" s="582"/>
    </row>
    <row r="179" spans="2:4">
      <c r="B179" s="582"/>
      <c r="D179" s="582"/>
    </row>
    <row r="180" spans="2:4">
      <c r="B180" s="582"/>
      <c r="D180" s="582"/>
    </row>
    <row r="181" spans="2:4">
      <c r="B181" s="582"/>
      <c r="D181" s="582"/>
    </row>
    <row r="182" spans="2:4">
      <c r="B182" s="582"/>
      <c r="D182" s="582"/>
    </row>
    <row r="183" spans="2:4">
      <c r="B183" s="582"/>
      <c r="D183" s="582"/>
    </row>
    <row r="184" spans="2:4">
      <c r="B184" s="582"/>
      <c r="D184" s="582"/>
    </row>
    <row r="185" spans="2:4">
      <c r="B185" s="582"/>
      <c r="D185" s="582"/>
    </row>
    <row r="186" spans="2:4">
      <c r="B186" s="582"/>
      <c r="D186" s="582"/>
    </row>
    <row r="187" spans="2:4">
      <c r="B187" s="582"/>
      <c r="D187" s="582"/>
    </row>
    <row r="188" spans="2:4">
      <c r="B188" s="582"/>
      <c r="D188" s="582"/>
    </row>
    <row r="189" spans="2:4">
      <c r="B189" s="582"/>
      <c r="D189" s="582"/>
    </row>
    <row r="190" spans="2:4">
      <c r="B190" s="582"/>
      <c r="D190" s="582"/>
    </row>
    <row r="191" spans="2:4">
      <c r="B191" s="582"/>
      <c r="D191" s="582"/>
    </row>
    <row r="192" spans="2:4">
      <c r="B192" s="582"/>
      <c r="D192" s="582"/>
    </row>
    <row r="193" spans="2:4">
      <c r="B193" s="582"/>
      <c r="D193" s="582"/>
    </row>
    <row r="194" spans="2:4">
      <c r="B194" s="582"/>
      <c r="D194" s="582"/>
    </row>
    <row r="195" spans="2:4">
      <c r="B195" s="582"/>
      <c r="D195" s="582"/>
    </row>
    <row r="196" spans="2:4">
      <c r="B196" s="582"/>
      <c r="D196" s="582"/>
    </row>
    <row r="197" spans="2:4">
      <c r="B197" s="582"/>
      <c r="D197" s="582"/>
    </row>
    <row r="198" spans="2:4">
      <c r="B198" s="582"/>
      <c r="D198" s="582"/>
    </row>
    <row r="199" spans="2:4">
      <c r="B199" s="582"/>
      <c r="D199" s="582"/>
    </row>
    <row r="200" spans="2:4">
      <c r="B200" s="582"/>
      <c r="D200" s="582"/>
    </row>
    <row r="201" spans="2:4">
      <c r="B201" s="582"/>
      <c r="D201" s="582"/>
    </row>
    <row r="202" spans="2:4">
      <c r="B202" s="582"/>
      <c r="D202" s="582"/>
    </row>
    <row r="203" spans="2:4">
      <c r="B203" s="582"/>
      <c r="D203" s="582"/>
    </row>
    <row r="204" spans="2:4">
      <c r="B204" s="582"/>
      <c r="D204" s="582"/>
    </row>
    <row r="205" spans="2:4">
      <c r="B205" s="582"/>
      <c r="D205" s="582"/>
    </row>
    <row r="206" spans="2:4">
      <c r="B206" s="582"/>
      <c r="D206" s="582"/>
    </row>
    <row r="207" spans="2:4">
      <c r="B207" s="582"/>
      <c r="D207" s="582"/>
    </row>
    <row r="208" spans="2:4">
      <c r="B208" s="582"/>
      <c r="D208" s="582"/>
    </row>
    <row r="209" spans="2:4">
      <c r="B209" s="582"/>
      <c r="D209" s="582"/>
    </row>
    <row r="210" spans="2:4">
      <c r="B210" s="582"/>
      <c r="D210" s="582"/>
    </row>
    <row r="211" spans="2:4">
      <c r="B211" s="582"/>
      <c r="D211" s="582"/>
    </row>
    <row r="212" spans="2:4">
      <c r="B212" s="582"/>
      <c r="D212" s="582"/>
    </row>
    <row r="213" spans="2:4">
      <c r="B213" s="582"/>
      <c r="D213" s="582"/>
    </row>
    <row r="214" spans="2:4">
      <c r="B214" s="582"/>
      <c r="D214" s="582"/>
    </row>
    <row r="215" spans="2:4">
      <c r="B215" s="582"/>
      <c r="D215" s="582"/>
    </row>
    <row r="216" spans="2:4">
      <c r="B216" s="582"/>
      <c r="D216" s="582"/>
    </row>
    <row r="217" spans="2:4">
      <c r="B217" s="582"/>
      <c r="D217" s="582"/>
    </row>
    <row r="218" spans="2:4">
      <c r="B218" s="582"/>
      <c r="D218" s="582"/>
    </row>
    <row r="219" spans="2:4">
      <c r="B219" s="582"/>
      <c r="D219" s="582"/>
    </row>
    <row r="220" spans="2:4">
      <c r="B220" s="582"/>
      <c r="D220" s="582"/>
    </row>
    <row r="221" spans="2:4">
      <c r="B221" s="582"/>
      <c r="D221" s="582"/>
    </row>
    <row r="222" spans="2:4">
      <c r="B222" s="582"/>
      <c r="D222" s="582"/>
    </row>
    <row r="223" spans="2:4">
      <c r="B223" s="582"/>
      <c r="D223" s="582"/>
    </row>
    <row r="224" spans="2:4">
      <c r="B224" s="582"/>
      <c r="D224" s="582"/>
    </row>
    <row r="225" spans="2:4">
      <c r="B225" s="582"/>
      <c r="D225" s="582"/>
    </row>
    <row r="226" spans="2:4">
      <c r="B226" s="582"/>
      <c r="D226" s="582"/>
    </row>
    <row r="227" spans="2:4">
      <c r="B227" s="582"/>
      <c r="D227" s="582"/>
    </row>
    <row r="228" spans="2:4">
      <c r="B228" s="582"/>
      <c r="D228" s="582"/>
    </row>
    <row r="229" spans="2:4">
      <c r="B229" s="582"/>
      <c r="D229" s="582"/>
    </row>
    <row r="230" spans="2:4">
      <c r="B230" s="582"/>
      <c r="D230" s="582"/>
    </row>
    <row r="231" spans="2:4">
      <c r="B231" s="582"/>
      <c r="D231" s="582"/>
    </row>
    <row r="232" spans="2:4">
      <c r="B232" s="582"/>
      <c r="D232" s="582"/>
    </row>
    <row r="233" spans="2:4">
      <c r="B233" s="582"/>
      <c r="D233" s="582"/>
    </row>
    <row r="234" spans="2:4">
      <c r="B234" s="582"/>
      <c r="D234" s="582"/>
    </row>
    <row r="235" spans="2:4">
      <c r="B235" s="582"/>
      <c r="D235" s="582"/>
    </row>
    <row r="236" spans="2:4">
      <c r="B236" s="582"/>
      <c r="D236" s="582"/>
    </row>
    <row r="237" spans="2:4">
      <c r="B237" s="582"/>
      <c r="D237" s="582"/>
    </row>
    <row r="238" spans="2:4">
      <c r="B238" s="582"/>
      <c r="D238" s="582"/>
    </row>
    <row r="239" spans="2:4">
      <c r="B239" s="582"/>
      <c r="D239" s="582"/>
    </row>
    <row r="240" spans="2:4">
      <c r="B240" s="582"/>
      <c r="D240" s="582"/>
    </row>
    <row r="241" spans="2:4">
      <c r="B241" s="582"/>
      <c r="D241" s="582"/>
    </row>
    <row r="242" spans="2:4">
      <c r="B242" s="582"/>
      <c r="D242" s="582"/>
    </row>
    <row r="243" spans="2:4">
      <c r="B243" s="582"/>
      <c r="D243" s="582"/>
    </row>
    <row r="244" spans="2:4">
      <c r="B244" s="582"/>
      <c r="D244" s="582"/>
    </row>
    <row r="245" spans="2:4">
      <c r="B245" s="582"/>
      <c r="D245" s="582"/>
    </row>
    <row r="246" spans="2:4">
      <c r="B246" s="582"/>
      <c r="D246" s="582"/>
    </row>
    <row r="247" spans="2:4">
      <c r="B247" s="582"/>
      <c r="D247" s="582"/>
    </row>
    <row r="248" spans="2:4">
      <c r="B248" s="582"/>
      <c r="D248" s="582"/>
    </row>
    <row r="249" spans="2:4">
      <c r="B249" s="582"/>
      <c r="D249" s="582"/>
    </row>
    <row r="250" spans="2:4">
      <c r="B250" s="582"/>
      <c r="D250" s="582"/>
    </row>
    <row r="251" spans="2:4">
      <c r="B251" s="582"/>
      <c r="D251" s="582"/>
    </row>
    <row r="252" spans="2:4">
      <c r="B252" s="582"/>
      <c r="D252" s="582"/>
    </row>
    <row r="253" spans="2:4">
      <c r="B253" s="582"/>
      <c r="D253" s="582"/>
    </row>
    <row r="254" spans="2:4">
      <c r="B254" s="582"/>
      <c r="D254" s="582"/>
    </row>
    <row r="255" spans="2:4">
      <c r="B255" s="582"/>
      <c r="D255" s="582"/>
    </row>
    <row r="256" spans="2:4">
      <c r="B256" s="582"/>
      <c r="D256" s="582"/>
    </row>
    <row r="257" spans="2:4">
      <c r="B257" s="582"/>
      <c r="D257" s="582"/>
    </row>
    <row r="258" spans="2:4">
      <c r="B258" s="582"/>
      <c r="D258" s="582"/>
    </row>
    <row r="259" spans="2:4">
      <c r="B259" s="582"/>
      <c r="D259" s="582"/>
    </row>
    <row r="260" spans="2:4">
      <c r="B260" s="582"/>
      <c r="D260" s="582"/>
    </row>
    <row r="261" spans="2:4">
      <c r="B261" s="582"/>
      <c r="D261" s="582"/>
    </row>
    <row r="262" spans="2:4">
      <c r="B262" s="582"/>
      <c r="D262" s="582"/>
    </row>
    <row r="263" spans="2:4">
      <c r="B263" s="582"/>
      <c r="D263" s="582"/>
    </row>
    <row r="264" spans="2:4">
      <c r="B264" s="582"/>
      <c r="D264" s="582"/>
    </row>
    <row r="265" spans="2:4">
      <c r="B265" s="582"/>
      <c r="D265" s="582"/>
    </row>
    <row r="266" spans="2:4">
      <c r="B266" s="582"/>
      <c r="D266" s="582"/>
    </row>
    <row r="267" spans="2:4">
      <c r="B267" s="582"/>
      <c r="D267" s="582"/>
    </row>
    <row r="268" spans="2:4">
      <c r="B268" s="582"/>
      <c r="D268" s="582"/>
    </row>
    <row r="269" spans="2:4">
      <c r="B269" s="582"/>
      <c r="D269" s="582"/>
    </row>
    <row r="270" spans="2:4">
      <c r="B270" s="582"/>
      <c r="D270" s="582"/>
    </row>
    <row r="271" spans="2:4">
      <c r="B271" s="582"/>
      <c r="D271" s="582"/>
    </row>
    <row r="272" spans="2:4">
      <c r="B272" s="582"/>
      <c r="D272" s="582"/>
    </row>
    <row r="273" spans="2:4">
      <c r="B273" s="582"/>
      <c r="D273" s="582"/>
    </row>
    <row r="274" spans="2:4">
      <c r="B274" s="582"/>
      <c r="D274" s="582"/>
    </row>
    <row r="275" spans="2:4">
      <c r="B275" s="582"/>
      <c r="D275" s="582"/>
    </row>
    <row r="276" spans="2:4">
      <c r="B276" s="582"/>
      <c r="D276" s="582"/>
    </row>
    <row r="277" spans="2:4">
      <c r="B277" s="582"/>
      <c r="D277" s="582"/>
    </row>
    <row r="278" spans="2:4">
      <c r="B278" s="582"/>
      <c r="D278" s="582"/>
    </row>
    <row r="279" spans="2:4">
      <c r="B279" s="582"/>
      <c r="D279" s="582"/>
    </row>
    <row r="280" spans="2:4">
      <c r="B280" s="582"/>
      <c r="D280" s="582"/>
    </row>
    <row r="281" spans="2:4">
      <c r="B281" s="582"/>
      <c r="D281" s="582"/>
    </row>
    <row r="282" spans="2:4">
      <c r="B282" s="582"/>
      <c r="D282" s="582"/>
    </row>
    <row r="283" spans="2:4">
      <c r="B283" s="582"/>
      <c r="D283" s="582"/>
    </row>
    <row r="284" spans="2:4">
      <c r="B284" s="582"/>
      <c r="D284" s="582"/>
    </row>
    <row r="285" spans="2:4">
      <c r="B285" s="582"/>
      <c r="D285" s="582"/>
    </row>
    <row r="286" spans="2:4">
      <c r="B286" s="582"/>
      <c r="D286" s="582"/>
    </row>
    <row r="287" spans="2:4">
      <c r="B287" s="582"/>
      <c r="D287" s="582"/>
    </row>
    <row r="288" spans="2:4">
      <c r="B288" s="582"/>
      <c r="D288" s="582"/>
    </row>
    <row r="289" spans="2:4">
      <c r="B289" s="582"/>
      <c r="D289" s="582"/>
    </row>
    <row r="290" spans="2:4">
      <c r="B290" s="582"/>
      <c r="D290" s="582"/>
    </row>
    <row r="291" spans="2:4">
      <c r="B291" s="582"/>
      <c r="D291" s="582"/>
    </row>
    <row r="292" spans="2:4">
      <c r="B292" s="582"/>
      <c r="D292" s="582"/>
    </row>
    <row r="293" spans="2:4">
      <c r="B293" s="582"/>
      <c r="D293" s="582"/>
    </row>
    <row r="294" spans="2:4">
      <c r="B294" s="582"/>
      <c r="D294" s="582"/>
    </row>
    <row r="295" spans="2:4">
      <c r="B295" s="582"/>
      <c r="D295" s="582"/>
    </row>
    <row r="296" spans="2:4">
      <c r="B296" s="582"/>
      <c r="D296" s="582"/>
    </row>
    <row r="297" spans="2:4">
      <c r="B297" s="582"/>
      <c r="D297" s="582"/>
    </row>
    <row r="298" spans="2:4">
      <c r="B298" s="582"/>
      <c r="D298" s="582"/>
    </row>
    <row r="299" spans="2:4">
      <c r="B299" s="582"/>
      <c r="D299" s="582"/>
    </row>
    <row r="300" spans="2:4">
      <c r="B300" s="582"/>
      <c r="D300" s="582"/>
    </row>
    <row r="301" spans="2:4">
      <c r="B301" s="582"/>
      <c r="D301" s="582"/>
    </row>
    <row r="302" spans="2:4">
      <c r="B302" s="582"/>
      <c r="D302" s="582"/>
    </row>
    <row r="303" spans="2:4">
      <c r="B303" s="582"/>
      <c r="D303" s="582"/>
    </row>
    <row r="304" spans="2:4">
      <c r="B304" s="582"/>
      <c r="D304" s="582"/>
    </row>
    <row r="305" spans="2:4">
      <c r="B305" s="582"/>
      <c r="D305" s="582"/>
    </row>
    <row r="306" spans="2:4">
      <c r="B306" s="582"/>
      <c r="D306" s="582"/>
    </row>
    <row r="307" spans="2:4">
      <c r="B307" s="582"/>
      <c r="D307" s="582"/>
    </row>
    <row r="308" spans="2:4">
      <c r="B308" s="582"/>
      <c r="D308" s="582"/>
    </row>
    <row r="309" spans="2:4">
      <c r="B309" s="582"/>
      <c r="D309" s="582"/>
    </row>
    <row r="310" spans="2:4">
      <c r="B310" s="582"/>
      <c r="D310" s="582"/>
    </row>
    <row r="311" spans="2:4">
      <c r="B311" s="582"/>
      <c r="D311" s="582"/>
    </row>
    <row r="312" spans="2:4">
      <c r="B312" s="582"/>
      <c r="D312" s="582"/>
    </row>
    <row r="313" spans="2:4">
      <c r="B313" s="582"/>
      <c r="D313" s="582"/>
    </row>
    <row r="314" spans="2:4">
      <c r="B314" s="582"/>
      <c r="D314" s="582"/>
    </row>
    <row r="315" spans="2:4">
      <c r="B315" s="582"/>
      <c r="D315" s="582"/>
    </row>
    <row r="316" spans="2:4">
      <c r="B316" s="582"/>
      <c r="D316" s="582"/>
    </row>
    <row r="317" spans="2:4">
      <c r="B317" s="582"/>
      <c r="D317" s="582"/>
    </row>
    <row r="318" spans="2:4">
      <c r="B318" s="582"/>
      <c r="D318" s="582"/>
    </row>
    <row r="319" spans="2:4">
      <c r="B319" s="582"/>
      <c r="D319" s="582"/>
    </row>
    <row r="320" spans="2:4">
      <c r="B320" s="582"/>
      <c r="D320" s="582"/>
    </row>
    <row r="321" spans="2:4">
      <c r="B321" s="582"/>
      <c r="D321" s="582"/>
    </row>
    <row r="322" spans="2:4">
      <c r="B322" s="582"/>
      <c r="D322" s="582"/>
    </row>
    <row r="323" spans="2:4">
      <c r="B323" s="582"/>
      <c r="D323" s="582"/>
    </row>
    <row r="324" spans="2:4">
      <c r="B324" s="582"/>
      <c r="D324" s="582"/>
    </row>
    <row r="325" spans="2:4">
      <c r="B325" s="582"/>
      <c r="D325" s="582"/>
    </row>
    <row r="326" spans="2:4">
      <c r="B326" s="582"/>
      <c r="D326" s="582"/>
    </row>
    <row r="327" spans="2:4">
      <c r="B327" s="582"/>
      <c r="D327" s="582"/>
    </row>
    <row r="328" spans="2:4">
      <c r="B328" s="582"/>
      <c r="D328" s="582"/>
    </row>
    <row r="329" spans="2:4">
      <c r="B329" s="582"/>
      <c r="D329" s="582"/>
    </row>
    <row r="330" spans="2:4">
      <c r="B330" s="582"/>
      <c r="D330" s="582"/>
    </row>
    <row r="331" spans="2:4">
      <c r="B331" s="582"/>
      <c r="D331" s="582"/>
    </row>
    <row r="332" spans="2:4">
      <c r="B332" s="582"/>
      <c r="D332" s="582"/>
    </row>
    <row r="333" spans="2:4">
      <c r="B333" s="582"/>
      <c r="D333" s="582"/>
    </row>
    <row r="334" spans="2:4">
      <c r="B334" s="582"/>
      <c r="D334" s="582"/>
    </row>
    <row r="335" spans="2:4">
      <c r="B335" s="582"/>
      <c r="D335" s="582"/>
    </row>
    <row r="336" spans="2:4">
      <c r="B336" s="582"/>
      <c r="D336" s="582"/>
    </row>
    <row r="337" spans="2:4">
      <c r="B337" s="582"/>
      <c r="D337" s="582"/>
    </row>
    <row r="338" spans="2:4">
      <c r="B338" s="582"/>
      <c r="D338" s="582"/>
    </row>
    <row r="339" spans="2:4">
      <c r="B339" s="582"/>
      <c r="D339" s="582"/>
    </row>
    <row r="340" spans="2:4">
      <c r="B340" s="582"/>
      <c r="D340" s="582"/>
    </row>
    <row r="341" spans="2:4">
      <c r="B341" s="582"/>
      <c r="D341" s="582"/>
    </row>
    <row r="342" spans="2:4">
      <c r="B342" s="582"/>
      <c r="D342" s="582"/>
    </row>
    <row r="343" spans="2:4">
      <c r="B343" s="582"/>
      <c r="D343" s="582"/>
    </row>
    <row r="344" spans="2:4">
      <c r="B344" s="582"/>
      <c r="D344" s="582"/>
    </row>
    <row r="345" spans="2:4">
      <c r="B345" s="582"/>
      <c r="D345" s="582"/>
    </row>
    <row r="346" spans="2:4">
      <c r="B346" s="582"/>
      <c r="D346" s="582"/>
    </row>
    <row r="347" spans="2:4">
      <c r="B347" s="582"/>
      <c r="D347" s="582"/>
    </row>
    <row r="348" spans="2:4">
      <c r="B348" s="582"/>
      <c r="D348" s="582"/>
    </row>
    <row r="349" spans="2:4">
      <c r="B349" s="582"/>
      <c r="D349" s="582"/>
    </row>
    <row r="350" spans="2:4">
      <c r="B350" s="582"/>
      <c r="D350" s="582"/>
    </row>
    <row r="351" spans="2:4">
      <c r="B351" s="582"/>
      <c r="D351" s="582"/>
    </row>
    <row r="352" spans="2:4">
      <c r="B352" s="582"/>
      <c r="D352" s="582"/>
    </row>
    <row r="353" spans="2:4">
      <c r="B353" s="582"/>
      <c r="D353" s="582"/>
    </row>
    <row r="354" spans="2:4">
      <c r="B354" s="582"/>
      <c r="D354" s="582"/>
    </row>
    <row r="355" spans="2:4">
      <c r="B355" s="582"/>
      <c r="D355" s="582"/>
    </row>
    <row r="356" spans="2:4">
      <c r="B356" s="582"/>
      <c r="D356" s="582"/>
    </row>
    <row r="357" spans="2:4">
      <c r="B357" s="582"/>
      <c r="D357" s="582"/>
    </row>
    <row r="358" spans="2:4">
      <c r="B358" s="582"/>
      <c r="D358" s="582"/>
    </row>
    <row r="359" spans="2:4">
      <c r="B359" s="582"/>
      <c r="D359" s="582"/>
    </row>
    <row r="360" spans="2:4">
      <c r="B360" s="582"/>
      <c r="D360" s="582"/>
    </row>
    <row r="361" spans="2:4">
      <c r="B361" s="582"/>
      <c r="D361" s="582"/>
    </row>
    <row r="362" spans="2:4">
      <c r="B362" s="582"/>
      <c r="D362" s="582"/>
    </row>
    <row r="363" spans="2:4">
      <c r="B363" s="582"/>
      <c r="D363" s="582"/>
    </row>
    <row r="364" spans="2:4">
      <c r="B364" s="582"/>
      <c r="D364" s="582"/>
    </row>
    <row r="365" spans="2:4">
      <c r="B365" s="582"/>
      <c r="D365" s="582"/>
    </row>
    <row r="366" spans="2:4">
      <c r="B366" s="582"/>
      <c r="D366" s="582"/>
    </row>
    <row r="367" spans="2:4">
      <c r="B367" s="582"/>
      <c r="D367" s="582"/>
    </row>
    <row r="368" spans="2:4">
      <c r="B368" s="582"/>
      <c r="D368" s="582"/>
    </row>
    <row r="369" spans="2:4">
      <c r="B369" s="582"/>
      <c r="D369" s="582"/>
    </row>
    <row r="370" spans="2:4">
      <c r="B370" s="582"/>
      <c r="D370" s="582"/>
    </row>
    <row r="371" spans="2:4">
      <c r="B371" s="582"/>
      <c r="D371" s="582"/>
    </row>
    <row r="372" spans="2:4">
      <c r="B372" s="582"/>
      <c r="D372" s="582"/>
    </row>
    <row r="373" spans="2:4">
      <c r="B373" s="582"/>
      <c r="D373" s="582"/>
    </row>
    <row r="374" spans="2:4">
      <c r="B374" s="582"/>
      <c r="D374" s="582"/>
    </row>
    <row r="375" spans="2:4">
      <c r="B375" s="582"/>
      <c r="D375" s="582"/>
    </row>
    <row r="376" spans="2:4">
      <c r="B376" s="582"/>
      <c r="D376" s="582"/>
    </row>
    <row r="377" spans="2:4">
      <c r="B377" s="582"/>
      <c r="D377" s="582"/>
    </row>
    <row r="378" spans="2:4">
      <c r="B378" s="582"/>
      <c r="D378" s="582"/>
    </row>
    <row r="379" spans="2:4">
      <c r="B379" s="582"/>
      <c r="D379" s="582"/>
    </row>
    <row r="380" spans="2:4">
      <c r="B380" s="582"/>
      <c r="D380" s="582"/>
    </row>
    <row r="381" spans="2:4">
      <c r="B381" s="582"/>
      <c r="D381" s="582"/>
    </row>
    <row r="382" spans="2:4">
      <c r="B382" s="582"/>
      <c r="D382" s="582"/>
    </row>
    <row r="383" spans="2:4">
      <c r="B383" s="582"/>
      <c r="D383" s="582"/>
    </row>
    <row r="384" spans="2:4">
      <c r="B384" s="582"/>
      <c r="D384" s="582"/>
    </row>
    <row r="385" spans="2:4">
      <c r="B385" s="582"/>
      <c r="D385" s="582"/>
    </row>
    <row r="386" spans="2:4">
      <c r="B386" s="582"/>
      <c r="D386" s="582"/>
    </row>
    <row r="387" spans="2:4">
      <c r="B387" s="582"/>
      <c r="D387" s="582"/>
    </row>
    <row r="388" spans="2:4">
      <c r="B388" s="582"/>
      <c r="D388" s="582"/>
    </row>
    <row r="389" spans="2:4">
      <c r="B389" s="582"/>
      <c r="D389" s="582"/>
    </row>
    <row r="390" spans="2:4">
      <c r="B390" s="582"/>
      <c r="D390" s="582"/>
    </row>
    <row r="391" spans="2:4">
      <c r="B391" s="582"/>
      <c r="D391" s="582"/>
    </row>
    <row r="392" spans="2:4">
      <c r="B392" s="582"/>
      <c r="D392" s="582"/>
    </row>
    <row r="393" spans="2:4">
      <c r="B393" s="582"/>
      <c r="D393" s="582"/>
    </row>
    <row r="394" spans="2:4">
      <c r="B394" s="582"/>
      <c r="D394" s="582"/>
    </row>
    <row r="395" spans="2:4">
      <c r="B395" s="582"/>
      <c r="D395" s="582"/>
    </row>
    <row r="396" spans="2:4">
      <c r="B396" s="582"/>
      <c r="D396" s="582"/>
    </row>
    <row r="397" spans="2:4">
      <c r="B397" s="582"/>
      <c r="D397" s="582"/>
    </row>
    <row r="398" spans="2:4">
      <c r="B398" s="582"/>
      <c r="D398" s="582"/>
    </row>
    <row r="399" spans="2:4">
      <c r="B399" s="582"/>
      <c r="D399" s="582"/>
    </row>
    <row r="400" spans="2:4">
      <c r="B400" s="582"/>
      <c r="D400" s="582"/>
    </row>
    <row r="401" spans="2:4">
      <c r="B401" s="582"/>
      <c r="D401" s="582"/>
    </row>
    <row r="402" spans="2:4">
      <c r="B402" s="582"/>
      <c r="D402" s="582"/>
    </row>
    <row r="403" spans="2:4">
      <c r="B403" s="582"/>
      <c r="D403" s="582"/>
    </row>
    <row r="404" spans="2:4">
      <c r="B404" s="582"/>
      <c r="D404" s="582"/>
    </row>
    <row r="405" spans="2:4">
      <c r="B405" s="582"/>
      <c r="D405" s="582"/>
    </row>
    <row r="406" spans="2:4">
      <c r="B406" s="582"/>
      <c r="D406" s="582"/>
    </row>
    <row r="407" spans="2:4">
      <c r="B407" s="582"/>
      <c r="D407" s="582"/>
    </row>
    <row r="408" spans="2:4">
      <c r="B408" s="582"/>
      <c r="D408" s="582"/>
    </row>
    <row r="409" spans="2:4">
      <c r="B409" s="582"/>
      <c r="D409" s="582"/>
    </row>
    <row r="410" spans="2:4">
      <c r="B410" s="582"/>
      <c r="D410" s="582"/>
    </row>
    <row r="411" spans="2:4">
      <c r="B411" s="582"/>
      <c r="D411" s="582"/>
    </row>
    <row r="412" spans="2:4">
      <c r="B412" s="582"/>
      <c r="D412" s="582"/>
    </row>
    <row r="413" spans="2:4">
      <c r="B413" s="582"/>
      <c r="D413" s="582"/>
    </row>
    <row r="414" spans="2:4">
      <c r="B414" s="582"/>
      <c r="D414" s="582"/>
    </row>
    <row r="415" spans="2:4">
      <c r="B415" s="582"/>
      <c r="D415" s="582"/>
    </row>
    <row r="416" spans="2:4">
      <c r="B416" s="582"/>
      <c r="D416" s="582"/>
    </row>
    <row r="417" spans="2:4">
      <c r="B417" s="582"/>
      <c r="D417" s="582"/>
    </row>
    <row r="418" spans="2:4">
      <c r="B418" s="582"/>
      <c r="D418" s="582"/>
    </row>
    <row r="419" spans="2:4">
      <c r="B419" s="582"/>
      <c r="D419" s="582"/>
    </row>
    <row r="420" spans="2:4">
      <c r="B420" s="582"/>
      <c r="D420" s="582"/>
    </row>
    <row r="421" spans="2:4">
      <c r="B421" s="582"/>
      <c r="D421" s="582"/>
    </row>
    <row r="422" spans="2:4">
      <c r="B422" s="582"/>
      <c r="D422" s="582"/>
    </row>
    <row r="423" spans="2:4">
      <c r="B423" s="582"/>
      <c r="D423" s="582"/>
    </row>
    <row r="424" spans="2:4">
      <c r="B424" s="582"/>
      <c r="D424" s="582"/>
    </row>
    <row r="425" spans="2:4">
      <c r="B425" s="582"/>
      <c r="D425" s="582"/>
    </row>
    <row r="426" spans="2:4">
      <c r="B426" s="582"/>
      <c r="D426" s="582"/>
    </row>
    <row r="427" spans="2:4">
      <c r="B427" s="582"/>
      <c r="D427" s="582"/>
    </row>
    <row r="428" spans="2:4">
      <c r="B428" s="582"/>
      <c r="D428" s="582"/>
    </row>
    <row r="429" spans="2:4">
      <c r="B429" s="582"/>
      <c r="D429" s="582"/>
    </row>
    <row r="430" spans="2:4">
      <c r="B430" s="582"/>
      <c r="D430" s="582"/>
    </row>
    <row r="431" spans="2:4">
      <c r="B431" s="582"/>
      <c r="D431" s="582"/>
    </row>
    <row r="432" spans="2:4">
      <c r="B432" s="582"/>
      <c r="D432" s="582"/>
    </row>
    <row r="433" spans="2:4">
      <c r="B433" s="582"/>
      <c r="D433" s="582"/>
    </row>
    <row r="434" spans="2:4">
      <c r="B434" s="582"/>
      <c r="D434" s="582"/>
    </row>
    <row r="435" spans="2:4">
      <c r="B435" s="582"/>
      <c r="D435" s="582"/>
    </row>
    <row r="436" spans="2:4">
      <c r="B436" s="582"/>
      <c r="D436" s="582"/>
    </row>
    <row r="437" spans="2:4">
      <c r="B437" s="582"/>
      <c r="D437" s="582"/>
    </row>
    <row r="438" spans="2:4">
      <c r="B438" s="582"/>
      <c r="D438" s="582"/>
    </row>
    <row r="439" spans="2:4">
      <c r="B439" s="582"/>
      <c r="D439" s="582"/>
    </row>
    <row r="440" spans="2:4">
      <c r="B440" s="582"/>
      <c r="D440" s="582"/>
    </row>
    <row r="441" spans="2:4">
      <c r="B441" s="582"/>
      <c r="D441" s="582"/>
    </row>
    <row r="442" spans="2:4">
      <c r="B442" s="582"/>
      <c r="D442" s="582"/>
    </row>
    <row r="443" spans="2:4">
      <c r="B443" s="582"/>
      <c r="D443" s="582"/>
    </row>
    <row r="444" spans="2:4">
      <c r="B444" s="582"/>
      <c r="D444" s="582"/>
    </row>
    <row r="445" spans="2:4">
      <c r="B445" s="582"/>
      <c r="D445" s="582"/>
    </row>
    <row r="446" spans="2:4">
      <c r="B446" s="582"/>
      <c r="D446" s="582"/>
    </row>
    <row r="447" spans="2:4">
      <c r="B447" s="582"/>
      <c r="D447" s="582"/>
    </row>
    <row r="448" spans="2:4">
      <c r="B448" s="582"/>
      <c r="D448" s="582"/>
    </row>
    <row r="449" spans="2:4">
      <c r="B449" s="582"/>
      <c r="D449" s="582"/>
    </row>
    <row r="450" spans="2:4">
      <c r="B450" s="582"/>
      <c r="D450" s="582"/>
    </row>
    <row r="451" spans="2:4">
      <c r="B451" s="582"/>
      <c r="D451" s="582"/>
    </row>
    <row r="452" spans="2:4">
      <c r="B452" s="582"/>
      <c r="D452" s="582"/>
    </row>
    <row r="453" spans="2:4">
      <c r="B453" s="582"/>
      <c r="D453" s="582"/>
    </row>
    <row r="454" spans="2:4">
      <c r="B454" s="582"/>
      <c r="D454" s="582"/>
    </row>
    <row r="455" spans="2:4">
      <c r="B455" s="582"/>
      <c r="D455" s="582"/>
    </row>
    <row r="456" spans="2:4">
      <c r="B456" s="582"/>
      <c r="D456" s="582"/>
    </row>
    <row r="457" spans="2:4">
      <c r="B457" s="582"/>
      <c r="D457" s="582"/>
    </row>
    <row r="458" spans="2:4">
      <c r="B458" s="582"/>
      <c r="D458" s="582"/>
    </row>
    <row r="459" spans="2:4">
      <c r="B459" s="582"/>
      <c r="D459" s="582"/>
    </row>
    <row r="460" spans="2:4">
      <c r="B460" s="582"/>
      <c r="D460" s="582"/>
    </row>
    <row r="461" spans="2:4">
      <c r="B461" s="582"/>
      <c r="D461" s="582"/>
    </row>
    <row r="462" spans="2:4">
      <c r="B462" s="582"/>
      <c r="D462" s="582"/>
    </row>
    <row r="463" spans="2:4">
      <c r="B463" s="582"/>
      <c r="D463" s="582"/>
    </row>
    <row r="464" spans="2:4">
      <c r="B464" s="582"/>
      <c r="D464" s="582"/>
    </row>
    <row r="465" spans="2:4">
      <c r="B465" s="582"/>
      <c r="D465" s="582"/>
    </row>
    <row r="466" spans="2:4">
      <c r="B466" s="582"/>
      <c r="D466" s="582"/>
    </row>
    <row r="467" spans="2:4">
      <c r="B467" s="582"/>
      <c r="D467" s="582"/>
    </row>
    <row r="468" spans="2:4">
      <c r="B468" s="582"/>
      <c r="D468" s="582"/>
    </row>
    <row r="469" spans="2:4">
      <c r="B469" s="582"/>
      <c r="D469" s="582"/>
    </row>
    <row r="470" spans="2:4">
      <c r="B470" s="582"/>
      <c r="D470" s="582"/>
    </row>
    <row r="471" spans="2:4">
      <c r="B471" s="582"/>
      <c r="D471" s="582"/>
    </row>
    <row r="472" spans="2:4">
      <c r="B472" s="582"/>
      <c r="D472" s="582"/>
    </row>
    <row r="473" spans="2:4">
      <c r="B473" s="582"/>
      <c r="D473" s="582"/>
    </row>
    <row r="474" spans="2:4">
      <c r="B474" s="582"/>
      <c r="D474" s="582"/>
    </row>
    <row r="475" spans="2:4">
      <c r="B475" s="582"/>
      <c r="D475" s="582"/>
    </row>
    <row r="476" spans="2:4">
      <c r="B476" s="582"/>
      <c r="D476" s="582"/>
    </row>
    <row r="477" spans="2:4">
      <c r="B477" s="582"/>
      <c r="D477" s="582"/>
    </row>
    <row r="478" spans="2:4">
      <c r="B478" s="582"/>
      <c r="D478" s="582"/>
    </row>
    <row r="479" spans="2:4">
      <c r="B479" s="582"/>
      <c r="D479" s="582"/>
    </row>
    <row r="480" spans="2:4">
      <c r="B480" s="582"/>
      <c r="D480" s="582"/>
    </row>
    <row r="481" spans="2:4">
      <c r="B481" s="582"/>
      <c r="D481" s="582"/>
    </row>
    <row r="482" spans="2:4">
      <c r="B482" s="582"/>
      <c r="D482" s="582"/>
    </row>
    <row r="483" spans="2:4">
      <c r="B483" s="582"/>
      <c r="D483" s="582"/>
    </row>
    <row r="484" spans="2:4">
      <c r="B484" s="582"/>
      <c r="D484" s="582"/>
    </row>
    <row r="485" spans="2:4">
      <c r="B485" s="582"/>
      <c r="D485" s="582"/>
    </row>
    <row r="486" spans="2:4">
      <c r="B486" s="582"/>
      <c r="D486" s="582"/>
    </row>
    <row r="487" spans="2:4">
      <c r="B487" s="582"/>
      <c r="D487" s="582"/>
    </row>
    <row r="488" spans="2:4">
      <c r="B488" s="582"/>
      <c r="D488" s="582"/>
    </row>
    <row r="489" spans="2:4">
      <c r="B489" s="582"/>
      <c r="D489" s="582"/>
    </row>
    <row r="490" spans="2:4">
      <c r="B490" s="582"/>
      <c r="D490" s="582"/>
    </row>
    <row r="491" spans="2:4">
      <c r="B491" s="582"/>
      <c r="D491" s="582"/>
    </row>
    <row r="492" spans="2:4">
      <c r="B492" s="582"/>
      <c r="D492" s="582"/>
    </row>
    <row r="493" spans="2:4">
      <c r="B493" s="582"/>
      <c r="D493" s="582"/>
    </row>
    <row r="494" spans="2:4">
      <c r="B494" s="582"/>
      <c r="D494" s="582"/>
    </row>
    <row r="495" spans="2:4">
      <c r="B495" s="582"/>
      <c r="D495" s="582"/>
    </row>
    <row r="496" spans="2:4">
      <c r="B496" s="582"/>
      <c r="D496" s="582"/>
    </row>
    <row r="497" spans="2:4">
      <c r="B497" s="582"/>
      <c r="D497" s="582"/>
    </row>
    <row r="498" spans="2:4">
      <c r="B498" s="582"/>
      <c r="D498" s="582"/>
    </row>
    <row r="499" spans="2:4">
      <c r="B499" s="582"/>
      <c r="D499" s="582"/>
    </row>
    <row r="500" spans="2:4">
      <c r="B500" s="582"/>
      <c r="D500" s="582"/>
    </row>
    <row r="501" spans="2:4">
      <c r="B501" s="582"/>
      <c r="D501" s="582"/>
    </row>
    <row r="502" spans="2:4">
      <c r="B502" s="582"/>
      <c r="D502" s="582"/>
    </row>
    <row r="503" spans="2:4">
      <c r="B503" s="582"/>
      <c r="D503" s="582"/>
    </row>
    <row r="504" spans="2:4">
      <c r="B504" s="582"/>
      <c r="D504" s="582"/>
    </row>
    <row r="505" spans="2:4">
      <c r="B505" s="582"/>
      <c r="D505" s="582"/>
    </row>
    <row r="506" spans="2:4">
      <c r="B506" s="582"/>
      <c r="D506" s="582"/>
    </row>
    <row r="507" spans="2:4">
      <c r="B507" s="582"/>
      <c r="D507" s="582"/>
    </row>
    <row r="508" spans="2:4">
      <c r="B508" s="582"/>
      <c r="D508" s="582"/>
    </row>
    <row r="509" spans="2:4">
      <c r="B509" s="582"/>
      <c r="D509" s="582"/>
    </row>
    <row r="510" spans="2:4">
      <c r="B510" s="582"/>
      <c r="D510" s="582"/>
    </row>
    <row r="511" spans="2:4">
      <c r="B511" s="582"/>
      <c r="D511" s="582"/>
    </row>
    <row r="512" spans="2:4">
      <c r="B512" s="582"/>
      <c r="D512" s="582"/>
    </row>
    <row r="513" spans="2:4">
      <c r="B513" s="582"/>
      <c r="D513" s="582"/>
    </row>
    <row r="514" spans="2:4">
      <c r="B514" s="582"/>
      <c r="D514" s="582"/>
    </row>
    <row r="515" spans="2:4">
      <c r="B515" s="582"/>
      <c r="D515" s="582"/>
    </row>
    <row r="516" spans="2:4">
      <c r="B516" s="582"/>
      <c r="D516" s="582"/>
    </row>
    <row r="517" spans="2:4">
      <c r="B517" s="582"/>
      <c r="D517" s="582"/>
    </row>
    <row r="518" spans="2:4">
      <c r="B518" s="582"/>
      <c r="D518" s="582"/>
    </row>
    <row r="519" spans="2:4">
      <c r="B519" s="582"/>
      <c r="D519" s="582"/>
    </row>
    <row r="520" spans="2:4">
      <c r="B520" s="582"/>
      <c r="D520" s="582"/>
    </row>
    <row r="521" spans="2:4">
      <c r="B521" s="582"/>
      <c r="D521" s="582"/>
    </row>
    <row r="522" spans="2:4">
      <c r="B522" s="582"/>
      <c r="D522" s="582"/>
    </row>
    <row r="523" spans="2:4">
      <c r="B523" s="582"/>
      <c r="D523" s="582"/>
    </row>
    <row r="524" spans="2:4">
      <c r="B524" s="582"/>
      <c r="D524" s="582"/>
    </row>
    <row r="525" spans="2:4">
      <c r="B525" s="582"/>
      <c r="D525" s="582"/>
    </row>
    <row r="526" spans="2:4">
      <c r="B526" s="582"/>
      <c r="D526" s="582"/>
    </row>
    <row r="527" spans="2:4">
      <c r="B527" s="582"/>
      <c r="D527" s="582"/>
    </row>
    <row r="528" spans="2:4">
      <c r="B528" s="582"/>
      <c r="D528" s="582"/>
    </row>
    <row r="529" spans="2:4">
      <c r="B529" s="582"/>
      <c r="D529" s="582"/>
    </row>
    <row r="530" spans="2:4">
      <c r="B530" s="582"/>
      <c r="D530" s="582"/>
    </row>
    <row r="531" spans="2:4">
      <c r="B531" s="582"/>
      <c r="D531" s="582"/>
    </row>
    <row r="532" spans="2:4">
      <c r="B532" s="582"/>
      <c r="D532" s="582"/>
    </row>
    <row r="533" spans="2:4">
      <c r="B533" s="582"/>
      <c r="D533" s="582"/>
    </row>
    <row r="534" spans="2:4">
      <c r="B534" s="582"/>
      <c r="D534" s="582"/>
    </row>
    <row r="535" spans="2:4">
      <c r="B535" s="582"/>
      <c r="D535" s="582"/>
    </row>
    <row r="536" spans="2:4">
      <c r="B536" s="582"/>
      <c r="D536" s="582"/>
    </row>
    <row r="537" spans="2:4">
      <c r="B537" s="582"/>
      <c r="D537" s="582"/>
    </row>
    <row r="538" spans="2:4">
      <c r="B538" s="582"/>
      <c r="D538" s="582"/>
    </row>
    <row r="539" spans="2:4">
      <c r="B539" s="582"/>
      <c r="D539" s="582"/>
    </row>
    <row r="540" spans="2:4">
      <c r="B540" s="582"/>
      <c r="D540" s="582"/>
    </row>
    <row r="541" spans="2:4">
      <c r="B541" s="582"/>
      <c r="D541" s="582"/>
    </row>
    <row r="542" spans="2:4">
      <c r="B542" s="582"/>
      <c r="D542" s="582"/>
    </row>
    <row r="543" spans="2:4">
      <c r="B543" s="582"/>
      <c r="D543" s="582"/>
    </row>
    <row r="544" spans="2:4">
      <c r="B544" s="582"/>
      <c r="D544" s="582"/>
    </row>
    <row r="545" spans="2:4">
      <c r="B545" s="582"/>
      <c r="D545" s="582"/>
    </row>
    <row r="546" spans="2:4">
      <c r="B546" s="582"/>
      <c r="D546" s="582"/>
    </row>
    <row r="547" spans="2:4">
      <c r="B547" s="582"/>
      <c r="D547" s="582"/>
    </row>
    <row r="548" spans="2:4">
      <c r="B548" s="582"/>
      <c r="D548" s="582"/>
    </row>
    <row r="549" spans="2:4">
      <c r="B549" s="582"/>
      <c r="D549" s="582"/>
    </row>
    <row r="550" spans="2:4">
      <c r="B550" s="582"/>
      <c r="D550" s="582"/>
    </row>
    <row r="551" spans="2:4">
      <c r="B551" s="582"/>
      <c r="D551" s="582"/>
    </row>
    <row r="552" spans="2:4">
      <c r="B552" s="582"/>
      <c r="D552" s="582"/>
    </row>
    <row r="553" spans="2:4">
      <c r="B553" s="582"/>
      <c r="D553" s="582"/>
    </row>
    <row r="554" spans="2:4">
      <c r="B554" s="582"/>
      <c r="D554" s="582"/>
    </row>
    <row r="555" spans="2:4">
      <c r="B555" s="582"/>
      <c r="D555" s="582"/>
    </row>
    <row r="556" spans="2:4">
      <c r="B556" s="582"/>
      <c r="D556" s="582"/>
    </row>
    <row r="557" spans="2:4">
      <c r="B557" s="582"/>
      <c r="D557" s="582"/>
    </row>
    <row r="558" spans="2:4">
      <c r="B558" s="582"/>
      <c r="D558" s="582"/>
    </row>
    <row r="559" spans="2:4">
      <c r="B559" s="582"/>
      <c r="D559" s="582"/>
    </row>
    <row r="560" spans="2:4">
      <c r="B560" s="582"/>
      <c r="D560" s="582"/>
    </row>
    <row r="561" spans="2:4">
      <c r="B561" s="582"/>
      <c r="D561" s="582"/>
    </row>
    <row r="562" spans="2:4">
      <c r="B562" s="582"/>
      <c r="D562" s="582"/>
    </row>
    <row r="563" spans="2:4">
      <c r="B563" s="582"/>
      <c r="D563" s="582"/>
    </row>
    <row r="564" spans="2:4">
      <c r="B564" s="582"/>
      <c r="D564" s="582"/>
    </row>
    <row r="565" spans="2:4">
      <c r="B565" s="582"/>
      <c r="D565" s="582"/>
    </row>
    <row r="566" spans="2:4">
      <c r="B566" s="582"/>
      <c r="D566" s="582"/>
    </row>
    <row r="567" spans="2:4">
      <c r="B567" s="582"/>
      <c r="D567" s="582"/>
    </row>
    <row r="568" spans="2:4">
      <c r="B568" s="582"/>
      <c r="D568" s="582"/>
    </row>
    <row r="569" spans="2:4">
      <c r="B569" s="582"/>
      <c r="D569" s="582"/>
    </row>
    <row r="570" spans="2:4">
      <c r="B570" s="582"/>
      <c r="D570" s="582"/>
    </row>
    <row r="571" spans="2:4">
      <c r="B571" s="582"/>
      <c r="D571" s="582"/>
    </row>
    <row r="572" spans="2:4">
      <c r="B572" s="582"/>
      <c r="D572" s="582"/>
    </row>
    <row r="573" spans="2:4">
      <c r="B573" s="582"/>
      <c r="D573" s="582"/>
    </row>
    <row r="574" spans="2:4">
      <c r="B574" s="582"/>
      <c r="D574" s="582"/>
    </row>
    <row r="575" spans="2:4">
      <c r="B575" s="582"/>
      <c r="D575" s="582"/>
    </row>
    <row r="576" spans="2:4">
      <c r="B576" s="582"/>
      <c r="D576" s="582"/>
    </row>
    <row r="577" spans="2:4">
      <c r="B577" s="582"/>
      <c r="D577" s="582"/>
    </row>
    <row r="578" spans="2:4">
      <c r="B578" s="582"/>
      <c r="D578" s="582"/>
    </row>
    <row r="579" spans="2:4">
      <c r="B579" s="582"/>
      <c r="D579" s="582"/>
    </row>
    <row r="580" spans="2:4">
      <c r="B580" s="582"/>
      <c r="D580" s="582"/>
    </row>
    <row r="581" spans="2:4">
      <c r="B581" s="582"/>
      <c r="D581" s="582"/>
    </row>
    <row r="582" spans="2:4">
      <c r="B582" s="582"/>
      <c r="D582" s="582"/>
    </row>
    <row r="583" spans="2:4">
      <c r="B583" s="582"/>
      <c r="D583" s="582"/>
    </row>
    <row r="584" spans="2:4">
      <c r="B584" s="582"/>
      <c r="D584" s="582"/>
    </row>
    <row r="585" spans="2:4">
      <c r="B585" s="582"/>
      <c r="D585" s="582"/>
    </row>
    <row r="586" spans="2:4">
      <c r="B586" s="582"/>
      <c r="D586" s="582"/>
    </row>
    <row r="587" spans="2:4">
      <c r="B587" s="582"/>
      <c r="D587" s="582"/>
    </row>
    <row r="588" spans="2:4">
      <c r="B588" s="582"/>
      <c r="D588" s="582"/>
    </row>
    <row r="589" spans="2:4">
      <c r="B589" s="582"/>
      <c r="D589" s="582"/>
    </row>
    <row r="590" spans="2:4">
      <c r="B590" s="582"/>
      <c r="D590" s="582"/>
    </row>
    <row r="591" spans="2:4">
      <c r="B591" s="582"/>
      <c r="D591" s="582"/>
    </row>
    <row r="592" spans="2:4">
      <c r="B592" s="582"/>
      <c r="D592" s="582"/>
    </row>
    <row r="593" spans="2:4">
      <c r="B593" s="582"/>
      <c r="D593" s="582"/>
    </row>
    <row r="594" spans="2:4">
      <c r="B594" s="582"/>
      <c r="D594" s="582"/>
    </row>
    <row r="595" spans="2:4">
      <c r="B595" s="582"/>
      <c r="D595" s="582"/>
    </row>
    <row r="596" spans="2:4">
      <c r="B596" s="582"/>
      <c r="D596" s="582"/>
    </row>
    <row r="597" spans="2:4">
      <c r="B597" s="582"/>
      <c r="D597" s="582"/>
    </row>
    <row r="598" spans="2:4">
      <c r="B598" s="582"/>
      <c r="D598" s="582"/>
    </row>
    <row r="599" spans="2:4">
      <c r="B599" s="582"/>
      <c r="D599" s="582"/>
    </row>
    <row r="600" spans="2:4">
      <c r="B600" s="582"/>
      <c r="D600" s="582"/>
    </row>
    <row r="601" spans="2:4">
      <c r="B601" s="582"/>
      <c r="D601" s="582"/>
    </row>
    <row r="602" spans="2:4">
      <c r="B602" s="582"/>
      <c r="D602" s="582"/>
    </row>
    <row r="603" spans="2:4">
      <c r="B603" s="582"/>
      <c r="D603" s="582"/>
    </row>
    <row r="604" spans="2:4">
      <c r="B604" s="582"/>
      <c r="D604" s="582"/>
    </row>
    <row r="605" spans="2:4">
      <c r="B605" s="582"/>
      <c r="D605" s="582"/>
    </row>
    <row r="606" spans="2:4">
      <c r="B606" s="582"/>
      <c r="D606" s="582"/>
    </row>
    <row r="607" spans="2:4">
      <c r="B607" s="582"/>
      <c r="D607" s="582"/>
    </row>
    <row r="608" spans="2:4">
      <c r="B608" s="582"/>
      <c r="D608" s="582"/>
    </row>
    <row r="609" spans="2:4">
      <c r="B609" s="582"/>
      <c r="D609" s="582"/>
    </row>
    <row r="610" spans="2:4">
      <c r="B610" s="582"/>
      <c r="D610" s="582"/>
    </row>
    <row r="611" spans="2:4">
      <c r="B611" s="582"/>
      <c r="D611" s="582"/>
    </row>
    <row r="612" spans="2:4">
      <c r="B612" s="582"/>
      <c r="D612" s="582"/>
    </row>
    <row r="613" spans="2:4">
      <c r="B613" s="582"/>
      <c r="D613" s="582"/>
    </row>
    <row r="614" spans="2:4">
      <c r="B614" s="582"/>
      <c r="D614" s="582"/>
    </row>
    <row r="615" spans="2:4">
      <c r="B615" s="582"/>
      <c r="D615" s="582"/>
    </row>
    <row r="616" spans="2:4">
      <c r="B616" s="582"/>
      <c r="D616" s="582"/>
    </row>
    <row r="617" spans="2:4">
      <c r="B617" s="582"/>
      <c r="D617" s="582"/>
    </row>
    <row r="618" spans="2:4">
      <c r="B618" s="582"/>
      <c r="D618" s="582"/>
    </row>
    <row r="619" spans="2:4">
      <c r="B619" s="582"/>
      <c r="D619" s="582"/>
    </row>
    <row r="620" spans="2:4">
      <c r="B620" s="582"/>
      <c r="D620" s="582"/>
    </row>
    <row r="621" spans="2:4">
      <c r="B621" s="582"/>
      <c r="D621" s="582"/>
    </row>
    <row r="622" spans="2:4">
      <c r="B622" s="582"/>
      <c r="D622" s="582"/>
    </row>
    <row r="623" spans="2:4">
      <c r="B623" s="582"/>
      <c r="D623" s="582"/>
    </row>
    <row r="624" spans="2:4">
      <c r="B624" s="582"/>
      <c r="D624" s="582"/>
    </row>
    <row r="625" spans="2:4">
      <c r="B625" s="582"/>
      <c r="D625" s="582"/>
    </row>
    <row r="626" spans="2:4">
      <c r="B626" s="582"/>
      <c r="D626" s="582"/>
    </row>
    <row r="627" spans="2:4">
      <c r="B627" s="582"/>
      <c r="D627" s="582"/>
    </row>
    <row r="628" spans="2:4">
      <c r="B628" s="582"/>
      <c r="D628" s="582"/>
    </row>
    <row r="629" spans="2:4">
      <c r="B629" s="582"/>
      <c r="D629" s="582"/>
    </row>
    <row r="630" spans="2:4">
      <c r="B630" s="582"/>
      <c r="D630" s="582"/>
    </row>
    <row r="631" spans="2:4">
      <c r="B631" s="582"/>
      <c r="D631" s="582"/>
    </row>
    <row r="632" spans="2:4">
      <c r="B632" s="582"/>
      <c r="D632" s="582"/>
    </row>
    <row r="633" spans="2:4">
      <c r="B633" s="582"/>
      <c r="D633" s="582"/>
    </row>
    <row r="634" spans="2:4">
      <c r="B634" s="582"/>
      <c r="D634" s="582"/>
    </row>
    <row r="635" spans="2:4">
      <c r="B635" s="582"/>
      <c r="D635" s="582"/>
    </row>
    <row r="636" spans="2:4">
      <c r="B636" s="582"/>
      <c r="D636" s="582"/>
    </row>
    <row r="637" spans="2:4">
      <c r="B637" s="582"/>
      <c r="D637" s="582"/>
    </row>
    <row r="638" spans="2:4">
      <c r="B638" s="582"/>
      <c r="D638" s="582"/>
    </row>
    <row r="639" spans="2:4">
      <c r="B639" s="582"/>
      <c r="D639" s="582"/>
    </row>
    <row r="640" spans="2:4">
      <c r="B640" s="582"/>
      <c r="D640" s="582"/>
    </row>
    <row r="641" spans="2:4">
      <c r="B641" s="582"/>
      <c r="D641" s="582"/>
    </row>
    <row r="642" spans="2:4">
      <c r="B642" s="582"/>
      <c r="D642" s="582"/>
    </row>
    <row r="643" spans="2:4">
      <c r="B643" s="582"/>
      <c r="D643" s="582"/>
    </row>
    <row r="644" spans="2:4">
      <c r="B644" s="582"/>
      <c r="D644" s="582"/>
    </row>
    <row r="645" spans="2:4">
      <c r="B645" s="582"/>
      <c r="D645" s="582"/>
    </row>
    <row r="646" spans="2:4">
      <c r="B646" s="582"/>
      <c r="D646" s="582"/>
    </row>
    <row r="647" spans="2:4">
      <c r="B647" s="582"/>
      <c r="D647" s="582"/>
    </row>
    <row r="648" spans="2:4">
      <c r="B648" s="582"/>
      <c r="D648" s="582"/>
    </row>
    <row r="649" spans="2:4">
      <c r="B649" s="582"/>
      <c r="D649" s="582"/>
    </row>
    <row r="650" spans="2:4">
      <c r="B650" s="582"/>
      <c r="D650" s="582"/>
    </row>
    <row r="651" spans="2:4">
      <c r="B651" s="582"/>
      <c r="D651" s="582"/>
    </row>
    <row r="652" spans="2:4">
      <c r="B652" s="582"/>
      <c r="D652" s="582"/>
    </row>
    <row r="653" spans="2:4">
      <c r="B653" s="582"/>
      <c r="D653" s="582"/>
    </row>
    <row r="654" spans="2:4">
      <c r="B654" s="582"/>
      <c r="D654" s="582"/>
    </row>
    <row r="655" spans="2:4">
      <c r="B655" s="582"/>
      <c r="D655" s="582"/>
    </row>
    <row r="656" spans="2:4">
      <c r="B656" s="582"/>
      <c r="D656" s="582"/>
    </row>
    <row r="657" spans="2:4">
      <c r="B657" s="582"/>
      <c r="D657" s="582"/>
    </row>
    <row r="658" spans="2:4">
      <c r="B658" s="582"/>
      <c r="D658" s="582"/>
    </row>
    <row r="659" spans="2:4">
      <c r="B659" s="582"/>
      <c r="D659" s="582"/>
    </row>
    <row r="660" spans="2:4">
      <c r="B660" s="582"/>
      <c r="D660" s="582"/>
    </row>
    <row r="661" spans="2:4">
      <c r="B661" s="582"/>
      <c r="D661" s="582"/>
    </row>
    <row r="662" spans="2:4">
      <c r="B662" s="582"/>
      <c r="D662" s="582"/>
    </row>
    <row r="663" spans="2:4">
      <c r="B663" s="582"/>
      <c r="D663" s="582"/>
    </row>
    <row r="664" spans="2:4">
      <c r="B664" s="582"/>
      <c r="D664" s="582"/>
    </row>
    <row r="665" spans="2:4">
      <c r="B665" s="582"/>
      <c r="D665" s="582"/>
    </row>
    <row r="666" spans="2:4">
      <c r="B666" s="582"/>
      <c r="D666" s="582"/>
    </row>
    <row r="667" spans="2:4">
      <c r="B667" s="582"/>
      <c r="D667" s="582"/>
    </row>
    <row r="668" spans="2:4">
      <c r="B668" s="582"/>
      <c r="D668" s="582"/>
    </row>
    <row r="669" spans="2:4">
      <c r="B669" s="582"/>
      <c r="D669" s="582"/>
    </row>
    <row r="670" spans="2:4">
      <c r="B670" s="582"/>
      <c r="D670" s="582"/>
    </row>
    <row r="671" spans="2:4">
      <c r="B671" s="582"/>
      <c r="D671" s="582"/>
    </row>
    <row r="672" spans="2:4">
      <c r="B672" s="582"/>
      <c r="D672" s="582"/>
    </row>
    <row r="673" spans="2:4">
      <c r="B673" s="582"/>
      <c r="D673" s="582"/>
    </row>
    <row r="674" spans="2:4">
      <c r="B674" s="582"/>
      <c r="D674" s="582"/>
    </row>
    <row r="675" spans="2:4">
      <c r="B675" s="582"/>
      <c r="D675" s="582"/>
    </row>
    <row r="676" spans="2:4">
      <c r="B676" s="582"/>
      <c r="D676" s="582"/>
    </row>
    <row r="677" spans="2:4">
      <c r="B677" s="582"/>
      <c r="D677" s="582"/>
    </row>
    <row r="678" spans="2:4">
      <c r="B678" s="582"/>
      <c r="D678" s="582"/>
    </row>
    <row r="679" spans="2:4">
      <c r="B679" s="582"/>
      <c r="D679" s="582"/>
    </row>
    <row r="680" spans="2:4">
      <c r="B680" s="582"/>
      <c r="D680" s="582"/>
    </row>
    <row r="681" spans="2:4">
      <c r="B681" s="582"/>
      <c r="D681" s="582"/>
    </row>
    <row r="682" spans="2:4">
      <c r="B682" s="582"/>
      <c r="D682" s="582"/>
    </row>
    <row r="683" spans="2:4">
      <c r="B683" s="582"/>
      <c r="D683" s="582"/>
    </row>
    <row r="684" spans="2:4">
      <c r="B684" s="582"/>
      <c r="D684" s="582"/>
    </row>
    <row r="685" spans="2:4">
      <c r="B685" s="582"/>
      <c r="D685" s="582"/>
    </row>
    <row r="686" spans="2:4">
      <c r="B686" s="582"/>
      <c r="D686" s="582"/>
    </row>
    <row r="687" spans="2:4">
      <c r="B687" s="582"/>
      <c r="D687" s="582"/>
    </row>
    <row r="688" spans="2:4">
      <c r="B688" s="582"/>
      <c r="D688" s="582"/>
    </row>
    <row r="689" spans="2:4">
      <c r="B689" s="582"/>
      <c r="D689" s="582"/>
    </row>
    <row r="690" spans="2:4">
      <c r="B690" s="582"/>
      <c r="D690" s="582"/>
    </row>
    <row r="691" spans="2:4">
      <c r="B691" s="582"/>
      <c r="D691" s="582"/>
    </row>
    <row r="692" spans="2:4">
      <c r="B692" s="582"/>
      <c r="D692" s="582"/>
    </row>
    <row r="693" spans="2:4">
      <c r="B693" s="582"/>
      <c r="D693" s="582"/>
    </row>
    <row r="694" spans="2:4">
      <c r="B694" s="582"/>
      <c r="D694" s="582"/>
    </row>
    <row r="695" spans="2:4">
      <c r="B695" s="582"/>
      <c r="D695" s="582"/>
    </row>
    <row r="696" spans="2:4">
      <c r="B696" s="582"/>
      <c r="D696" s="582"/>
    </row>
    <row r="697" spans="2:4">
      <c r="B697" s="582"/>
      <c r="D697" s="582"/>
    </row>
    <row r="698" spans="2:4">
      <c r="B698" s="582"/>
      <c r="D698" s="582"/>
    </row>
    <row r="699" spans="2:4">
      <c r="B699" s="582"/>
      <c r="D699" s="582"/>
    </row>
    <row r="700" spans="2:4">
      <c r="B700" s="582"/>
      <c r="D700" s="582"/>
    </row>
    <row r="701" spans="2:4">
      <c r="B701" s="582"/>
      <c r="D701" s="582"/>
    </row>
    <row r="702" spans="2:4">
      <c r="B702" s="582"/>
      <c r="D702" s="582"/>
    </row>
    <row r="703" spans="2:4">
      <c r="B703" s="582"/>
      <c r="D703" s="582"/>
    </row>
    <row r="704" spans="2:4">
      <c r="B704" s="582"/>
      <c r="D704" s="582"/>
    </row>
    <row r="705" spans="2:4">
      <c r="B705" s="582"/>
      <c r="D705" s="582"/>
    </row>
    <row r="706" spans="2:4">
      <c r="B706" s="582"/>
      <c r="D706" s="582"/>
    </row>
    <row r="707" spans="2:4">
      <c r="B707" s="582"/>
      <c r="D707" s="582"/>
    </row>
    <row r="708" spans="2:4">
      <c r="B708" s="582"/>
      <c r="D708" s="582"/>
    </row>
    <row r="709" spans="2:4">
      <c r="B709" s="582"/>
      <c r="D709" s="582"/>
    </row>
    <row r="710" spans="2:4">
      <c r="B710" s="582"/>
      <c r="D710" s="582"/>
    </row>
    <row r="711" spans="2:4">
      <c r="B711" s="582"/>
      <c r="D711" s="582"/>
    </row>
    <row r="712" spans="2:4">
      <c r="B712" s="582"/>
      <c r="D712" s="582"/>
    </row>
    <row r="713" spans="2:4">
      <c r="B713" s="582"/>
      <c r="D713" s="582"/>
    </row>
    <row r="714" spans="2:4">
      <c r="B714" s="582"/>
      <c r="D714" s="582"/>
    </row>
    <row r="715" spans="2:4">
      <c r="B715" s="582"/>
      <c r="D715" s="582"/>
    </row>
    <row r="716" spans="2:4">
      <c r="B716" s="582"/>
      <c r="D716" s="582"/>
    </row>
    <row r="717" spans="2:4">
      <c r="B717" s="582"/>
      <c r="D717" s="582"/>
    </row>
    <row r="718" spans="2:4">
      <c r="B718" s="582"/>
      <c r="D718" s="582"/>
    </row>
    <row r="719" spans="2:4">
      <c r="B719" s="582"/>
      <c r="D719" s="582"/>
    </row>
    <row r="720" spans="2:4">
      <c r="B720" s="582"/>
      <c r="D720" s="582"/>
    </row>
    <row r="721" spans="2:4">
      <c r="B721" s="582"/>
      <c r="D721" s="582"/>
    </row>
    <row r="722" spans="2:4">
      <c r="B722" s="582"/>
      <c r="D722" s="582"/>
    </row>
    <row r="723" spans="2:4">
      <c r="B723" s="582"/>
      <c r="D723" s="582"/>
    </row>
    <row r="724" spans="2:4">
      <c r="B724" s="582"/>
      <c r="D724" s="582"/>
    </row>
    <row r="725" spans="2:4">
      <c r="B725" s="582"/>
      <c r="D725" s="582"/>
    </row>
    <row r="726" spans="2:4">
      <c r="B726" s="582"/>
      <c r="D726" s="582"/>
    </row>
    <row r="727" spans="2:4">
      <c r="B727" s="582"/>
      <c r="D727" s="582"/>
    </row>
    <row r="728" spans="2:4">
      <c r="B728" s="582"/>
      <c r="D728" s="582"/>
    </row>
    <row r="729" spans="2:4">
      <c r="B729" s="582"/>
      <c r="D729" s="582"/>
    </row>
    <row r="730" spans="2:4">
      <c r="B730" s="582"/>
      <c r="D730" s="582"/>
    </row>
    <row r="731" spans="2:4">
      <c r="B731" s="582"/>
      <c r="D731" s="582"/>
    </row>
    <row r="732" spans="2:4">
      <c r="B732" s="582"/>
      <c r="D732" s="582"/>
    </row>
    <row r="733" spans="2:4">
      <c r="B733" s="582"/>
      <c r="D733" s="582"/>
    </row>
    <row r="734" spans="2:4">
      <c r="B734" s="582"/>
      <c r="D734" s="582"/>
    </row>
    <row r="735" spans="2:4">
      <c r="B735" s="582"/>
      <c r="D735" s="582"/>
    </row>
    <row r="736" spans="2:4">
      <c r="B736" s="582"/>
      <c r="D736" s="582"/>
    </row>
    <row r="737" spans="2:4">
      <c r="B737" s="582"/>
      <c r="D737" s="582"/>
    </row>
    <row r="738" spans="2:4">
      <c r="B738" s="582"/>
      <c r="D738" s="582"/>
    </row>
    <row r="739" spans="2:4">
      <c r="B739" s="582"/>
      <c r="D739" s="582"/>
    </row>
    <row r="740" spans="2:4">
      <c r="B740" s="582"/>
      <c r="D740" s="582"/>
    </row>
    <row r="741" spans="2:4">
      <c r="B741" s="582"/>
      <c r="D741" s="582"/>
    </row>
    <row r="742" spans="2:4">
      <c r="B742" s="582"/>
      <c r="D742" s="582"/>
    </row>
    <row r="743" spans="2:4">
      <c r="B743" s="582"/>
      <c r="D743" s="582"/>
    </row>
    <row r="744" spans="2:4">
      <c r="B744" s="582"/>
      <c r="D744" s="582"/>
    </row>
    <row r="745" spans="2:4">
      <c r="B745" s="582"/>
      <c r="D745" s="582"/>
    </row>
    <row r="746" spans="2:4">
      <c r="B746" s="582"/>
      <c r="D746" s="582"/>
    </row>
    <row r="747" spans="2:4">
      <c r="B747" s="582"/>
      <c r="D747" s="582"/>
    </row>
    <row r="748" spans="2:4">
      <c r="B748" s="582"/>
      <c r="D748" s="582"/>
    </row>
    <row r="749" spans="2:4">
      <c r="B749" s="582"/>
      <c r="D749" s="582"/>
    </row>
    <row r="750" spans="2:4">
      <c r="B750" s="582"/>
      <c r="D750" s="582"/>
    </row>
    <row r="751" spans="2:4">
      <c r="B751" s="582"/>
      <c r="D751" s="582"/>
    </row>
    <row r="752" spans="2:4">
      <c r="B752" s="582"/>
      <c r="D752" s="582"/>
    </row>
    <row r="753" spans="2:4">
      <c r="B753" s="582"/>
      <c r="D753" s="582"/>
    </row>
    <row r="754" spans="2:4">
      <c r="B754" s="582"/>
      <c r="D754" s="582"/>
    </row>
    <row r="755" spans="2:4">
      <c r="B755" s="582"/>
      <c r="D755" s="582"/>
    </row>
    <row r="756" spans="2:4">
      <c r="B756" s="582"/>
      <c r="D756" s="582"/>
    </row>
    <row r="757" spans="2:4">
      <c r="B757" s="582"/>
      <c r="D757" s="582"/>
    </row>
    <row r="758" spans="2:4">
      <c r="B758" s="582"/>
      <c r="D758" s="582"/>
    </row>
    <row r="759" spans="2:4">
      <c r="B759" s="582"/>
      <c r="D759" s="582"/>
    </row>
    <row r="760" spans="2:4">
      <c r="B760" s="582"/>
      <c r="D760" s="582"/>
    </row>
    <row r="761" spans="2:4">
      <c r="B761" s="582"/>
      <c r="D761" s="582"/>
    </row>
    <row r="762" spans="2:4">
      <c r="B762" s="582"/>
      <c r="D762" s="582"/>
    </row>
    <row r="763" spans="2:4">
      <c r="B763" s="582"/>
      <c r="D763" s="582"/>
    </row>
    <row r="764" spans="2:4">
      <c r="B764" s="582"/>
      <c r="D764" s="582"/>
    </row>
    <row r="765" spans="2:4">
      <c r="B765" s="582"/>
      <c r="D765" s="582"/>
    </row>
    <row r="766" spans="2:4">
      <c r="B766" s="582"/>
      <c r="D766" s="582"/>
    </row>
    <row r="767" spans="2:4">
      <c r="B767" s="582"/>
      <c r="D767" s="582"/>
    </row>
    <row r="768" spans="2:4">
      <c r="B768" s="582"/>
      <c r="D768" s="582"/>
    </row>
    <row r="769" spans="2:4">
      <c r="B769" s="582"/>
      <c r="D769" s="582"/>
    </row>
    <row r="770" spans="2:4">
      <c r="B770" s="582"/>
      <c r="D770" s="582"/>
    </row>
    <row r="771" spans="2:4">
      <c r="B771" s="582"/>
      <c r="D771" s="582"/>
    </row>
    <row r="772" spans="2:4">
      <c r="B772" s="582"/>
      <c r="D772" s="582"/>
    </row>
    <row r="773" spans="2:4">
      <c r="B773" s="582"/>
      <c r="D773" s="582"/>
    </row>
    <row r="774" spans="2:4">
      <c r="B774" s="582"/>
      <c r="D774" s="582"/>
    </row>
    <row r="775" spans="2:4">
      <c r="B775" s="582"/>
      <c r="D775" s="582"/>
    </row>
    <row r="776" spans="2:4">
      <c r="B776" s="582"/>
      <c r="D776" s="582"/>
    </row>
    <row r="777" spans="2:4">
      <c r="B777" s="582"/>
      <c r="D777" s="582"/>
    </row>
    <row r="778" spans="2:4">
      <c r="B778" s="582"/>
      <c r="D778" s="582"/>
    </row>
    <row r="779" spans="2:4">
      <c r="B779" s="582"/>
      <c r="D779" s="582"/>
    </row>
    <row r="780" spans="2:4">
      <c r="B780" s="582"/>
      <c r="D780" s="582"/>
    </row>
    <row r="781" spans="2:4">
      <c r="B781" s="582"/>
      <c r="D781" s="582"/>
    </row>
    <row r="782" spans="2:4">
      <c r="B782" s="582"/>
      <c r="D782" s="582"/>
    </row>
    <row r="783" spans="2:4">
      <c r="B783" s="582"/>
      <c r="D783" s="582"/>
    </row>
    <row r="784" spans="2:4">
      <c r="B784" s="582"/>
      <c r="D784" s="582"/>
    </row>
    <row r="785" spans="2:4">
      <c r="B785" s="582"/>
      <c r="D785" s="582"/>
    </row>
    <row r="786" spans="2:4">
      <c r="B786" s="582"/>
      <c r="D786" s="582"/>
    </row>
    <row r="787" spans="2:4">
      <c r="B787" s="582"/>
      <c r="D787" s="582"/>
    </row>
    <row r="788" spans="2:4">
      <c r="B788" s="582"/>
      <c r="D788" s="582"/>
    </row>
    <row r="789" spans="2:4">
      <c r="B789" s="582"/>
      <c r="D789" s="582"/>
    </row>
    <row r="790" spans="2:4">
      <c r="B790" s="582"/>
      <c r="D790" s="582"/>
    </row>
    <row r="791" spans="2:4">
      <c r="B791" s="582"/>
      <c r="D791" s="582"/>
    </row>
    <row r="792" spans="2:4">
      <c r="B792" s="582"/>
      <c r="D792" s="582"/>
    </row>
    <row r="793" spans="2:4">
      <c r="B793" s="582"/>
      <c r="D793" s="582"/>
    </row>
    <row r="794" spans="2:4">
      <c r="B794" s="582"/>
      <c r="D794" s="582"/>
    </row>
    <row r="795" spans="2:4">
      <c r="B795" s="582"/>
      <c r="D795" s="582"/>
    </row>
    <row r="796" spans="2:4">
      <c r="B796" s="582"/>
      <c r="D796" s="582"/>
    </row>
    <row r="797" spans="2:4">
      <c r="B797" s="582"/>
      <c r="D797" s="582"/>
    </row>
    <row r="798" spans="2:4">
      <c r="B798" s="582"/>
      <c r="D798" s="582"/>
    </row>
    <row r="799" spans="2:4">
      <c r="B799" s="582"/>
      <c r="D799" s="582"/>
    </row>
    <row r="800" spans="2:4">
      <c r="B800" s="582"/>
      <c r="D800" s="582"/>
    </row>
    <row r="801" spans="2:4">
      <c r="B801" s="582"/>
      <c r="D801" s="582"/>
    </row>
    <row r="802" spans="2:4">
      <c r="B802" s="582"/>
      <c r="D802" s="582"/>
    </row>
    <row r="803" spans="2:4">
      <c r="B803" s="582"/>
      <c r="D803" s="582"/>
    </row>
    <row r="804" spans="2:4">
      <c r="B804" s="582"/>
      <c r="D804" s="582"/>
    </row>
    <row r="805" spans="2:4">
      <c r="B805" s="582"/>
      <c r="D805" s="582"/>
    </row>
    <row r="806" spans="2:4">
      <c r="B806" s="582"/>
      <c r="D806" s="582"/>
    </row>
    <row r="807" spans="2:4">
      <c r="B807" s="582"/>
      <c r="D807" s="582"/>
    </row>
    <row r="808" spans="2:4">
      <c r="B808" s="582"/>
      <c r="D808" s="582"/>
    </row>
    <row r="809" spans="2:4">
      <c r="B809" s="582"/>
      <c r="D809" s="582"/>
    </row>
    <row r="810" spans="2:4">
      <c r="B810" s="582"/>
      <c r="D810" s="582"/>
    </row>
    <row r="811" spans="2:4">
      <c r="B811" s="582"/>
      <c r="D811" s="582"/>
    </row>
    <row r="812" spans="2:4">
      <c r="B812" s="582"/>
      <c r="D812" s="582"/>
    </row>
    <row r="813" spans="2:4">
      <c r="B813" s="582"/>
      <c r="D813" s="582"/>
    </row>
    <row r="814" spans="2:4">
      <c r="B814" s="582"/>
      <c r="D814" s="582"/>
    </row>
    <row r="815" spans="2:4">
      <c r="B815" s="582"/>
      <c r="D815" s="582"/>
    </row>
    <row r="816" spans="2:4">
      <c r="B816" s="582"/>
      <c r="D816" s="582"/>
    </row>
    <row r="817" spans="2:4">
      <c r="B817" s="582"/>
      <c r="D817" s="582"/>
    </row>
    <row r="818" spans="2:4">
      <c r="B818" s="582"/>
      <c r="D818" s="582"/>
    </row>
    <row r="819" spans="2:4">
      <c r="B819" s="582"/>
      <c r="D819" s="582"/>
    </row>
    <row r="820" spans="2:4">
      <c r="B820" s="582"/>
      <c r="D820" s="582"/>
    </row>
    <row r="821" spans="2:4">
      <c r="B821" s="582"/>
      <c r="D821" s="582"/>
    </row>
    <row r="822" spans="2:4">
      <c r="B822" s="582"/>
      <c r="D822" s="582"/>
    </row>
    <row r="823" spans="2:4">
      <c r="B823" s="582"/>
      <c r="D823" s="582"/>
    </row>
    <row r="824" spans="2:4">
      <c r="B824" s="582"/>
      <c r="D824" s="582"/>
    </row>
    <row r="825" spans="2:4">
      <c r="B825" s="582"/>
      <c r="D825" s="582"/>
    </row>
    <row r="826" spans="2:4">
      <c r="B826" s="582"/>
      <c r="D826" s="582"/>
    </row>
    <row r="827" spans="2:4">
      <c r="B827" s="582"/>
      <c r="D827" s="582"/>
    </row>
    <row r="828" spans="2:4">
      <c r="B828" s="582"/>
      <c r="D828" s="582"/>
    </row>
    <row r="829" spans="2:4">
      <c r="B829" s="582"/>
      <c r="D829" s="582"/>
    </row>
    <row r="830" spans="2:4">
      <c r="B830" s="582"/>
      <c r="D830" s="582"/>
    </row>
    <row r="831" spans="2:4">
      <c r="B831" s="582"/>
      <c r="D831" s="582"/>
    </row>
    <row r="832" spans="2:4">
      <c r="B832" s="582"/>
      <c r="D832" s="582"/>
    </row>
    <row r="833" spans="2:4">
      <c r="B833" s="582"/>
      <c r="D833" s="582"/>
    </row>
    <row r="834" spans="2:4">
      <c r="B834" s="582"/>
      <c r="D834" s="582"/>
    </row>
    <row r="835" spans="2:4">
      <c r="B835" s="582"/>
      <c r="D835" s="582"/>
    </row>
    <row r="836" spans="2:4">
      <c r="B836" s="582"/>
      <c r="D836" s="582"/>
    </row>
    <row r="837" spans="2:4">
      <c r="B837" s="582"/>
      <c r="D837" s="582"/>
    </row>
    <row r="838" spans="2:4">
      <c r="B838" s="582"/>
      <c r="D838" s="582"/>
    </row>
    <row r="839" spans="2:4">
      <c r="B839" s="582"/>
      <c r="D839" s="582"/>
    </row>
    <row r="840" spans="2:4">
      <c r="B840" s="582"/>
      <c r="D840" s="582"/>
    </row>
    <row r="841" spans="2:4">
      <c r="B841" s="582"/>
      <c r="D841" s="582"/>
    </row>
    <row r="842" spans="2:4">
      <c r="B842" s="582"/>
      <c r="D842" s="582"/>
    </row>
    <row r="843" spans="2:4">
      <c r="B843" s="582"/>
      <c r="D843" s="582"/>
    </row>
    <row r="844" spans="2:4">
      <c r="B844" s="582"/>
      <c r="D844" s="582"/>
    </row>
    <row r="845" spans="2:4">
      <c r="B845" s="582"/>
      <c r="D845" s="582"/>
    </row>
    <row r="846" spans="2:4">
      <c r="B846" s="582"/>
      <c r="D846" s="582"/>
    </row>
    <row r="847" spans="2:4">
      <c r="B847" s="582"/>
      <c r="D847" s="582"/>
    </row>
    <row r="848" spans="2:4">
      <c r="B848" s="582"/>
      <c r="D848" s="582"/>
    </row>
    <row r="849" spans="2:4">
      <c r="B849" s="582"/>
      <c r="D849" s="582"/>
    </row>
    <row r="850" spans="2:4">
      <c r="B850" s="582"/>
      <c r="D850" s="582"/>
    </row>
    <row r="851" spans="2:4">
      <c r="B851" s="582"/>
      <c r="D851" s="582"/>
    </row>
    <row r="852" spans="2:4">
      <c r="B852" s="582"/>
      <c r="D852" s="582"/>
    </row>
    <row r="853" spans="2:4">
      <c r="B853" s="582"/>
      <c r="D853" s="582"/>
    </row>
    <row r="854" spans="2:4">
      <c r="B854" s="582"/>
      <c r="D854" s="582"/>
    </row>
    <row r="855" spans="2:4">
      <c r="B855" s="582"/>
      <c r="D855" s="582"/>
    </row>
    <row r="856" spans="2:4">
      <c r="B856" s="582"/>
      <c r="D856" s="582"/>
    </row>
    <row r="857" spans="2:4">
      <c r="B857" s="582"/>
      <c r="D857" s="582"/>
    </row>
    <row r="858" spans="2:4">
      <c r="B858" s="582"/>
      <c r="D858" s="582"/>
    </row>
    <row r="859" spans="2:4">
      <c r="B859" s="582"/>
      <c r="D859" s="582"/>
    </row>
    <row r="860" spans="2:4">
      <c r="B860" s="582"/>
      <c r="D860" s="582"/>
    </row>
    <row r="861" spans="2:4">
      <c r="B861" s="582"/>
      <c r="D861" s="582"/>
    </row>
    <row r="862" spans="2:4">
      <c r="B862" s="582"/>
      <c r="D862" s="582"/>
    </row>
    <row r="863" spans="2:4">
      <c r="B863" s="582"/>
      <c r="D863" s="582"/>
    </row>
    <row r="864" spans="2:4">
      <c r="B864" s="582"/>
      <c r="D864" s="582"/>
    </row>
    <row r="865" spans="2:4">
      <c r="B865" s="582"/>
      <c r="D865" s="582"/>
    </row>
    <row r="866" spans="2:4">
      <c r="B866" s="582"/>
      <c r="D866" s="582"/>
    </row>
    <row r="867" spans="2:4">
      <c r="B867" s="582"/>
      <c r="D867" s="582"/>
    </row>
    <row r="868" spans="2:4">
      <c r="B868" s="582"/>
      <c r="D868" s="582"/>
    </row>
    <row r="869" spans="2:4">
      <c r="B869" s="582"/>
      <c r="D869" s="582"/>
    </row>
    <row r="870" spans="2:4">
      <c r="B870" s="582"/>
      <c r="D870" s="582"/>
    </row>
    <row r="871" spans="2:4">
      <c r="B871" s="582"/>
      <c r="D871" s="582"/>
    </row>
    <row r="872" spans="2:4">
      <c r="B872" s="582"/>
      <c r="D872" s="582"/>
    </row>
    <row r="873" spans="2:4">
      <c r="B873" s="582"/>
      <c r="D873" s="582"/>
    </row>
    <row r="874" spans="2:4">
      <c r="B874" s="582"/>
      <c r="D874" s="582"/>
    </row>
    <row r="875" spans="2:4">
      <c r="B875" s="582"/>
      <c r="D875" s="582"/>
    </row>
    <row r="876" spans="2:4">
      <c r="B876" s="582"/>
      <c r="D876" s="582"/>
    </row>
    <row r="877" spans="2:4">
      <c r="B877" s="582"/>
      <c r="D877" s="582"/>
    </row>
    <row r="878" spans="2:4">
      <c r="B878" s="582"/>
      <c r="D878" s="582"/>
    </row>
    <row r="879" spans="2:4">
      <c r="B879" s="582"/>
      <c r="D879" s="582"/>
    </row>
    <row r="880" spans="2:4">
      <c r="B880" s="582"/>
      <c r="D880" s="582"/>
    </row>
    <row r="881" spans="2:4">
      <c r="B881" s="582"/>
      <c r="D881" s="582"/>
    </row>
    <row r="882" spans="2:4">
      <c r="B882" s="582"/>
      <c r="D882" s="582"/>
    </row>
    <row r="883" spans="2:4">
      <c r="B883" s="582"/>
      <c r="D883" s="582"/>
    </row>
    <row r="884" spans="2:4">
      <c r="B884" s="582"/>
      <c r="D884" s="582"/>
    </row>
    <row r="885" spans="2:4">
      <c r="B885" s="582"/>
      <c r="D885" s="582"/>
    </row>
    <row r="886" spans="2:4">
      <c r="B886" s="582"/>
      <c r="D886" s="582"/>
    </row>
    <row r="887" spans="2:4">
      <c r="B887" s="582"/>
      <c r="D887" s="582"/>
    </row>
    <row r="888" spans="2:4">
      <c r="B888" s="582"/>
      <c r="D888" s="582"/>
    </row>
    <row r="889" spans="2:4">
      <c r="B889" s="582"/>
      <c r="D889" s="582"/>
    </row>
    <row r="890" spans="2:4">
      <c r="B890" s="582"/>
      <c r="D890" s="582"/>
    </row>
    <row r="891" spans="2:4">
      <c r="B891" s="582"/>
      <c r="D891" s="582"/>
    </row>
    <row r="892" spans="2:4">
      <c r="B892" s="582"/>
      <c r="D892" s="582"/>
    </row>
    <row r="893" spans="2:4">
      <c r="B893" s="582"/>
      <c r="D893" s="582"/>
    </row>
    <row r="894" spans="2:4">
      <c r="B894" s="582"/>
      <c r="D894" s="582"/>
    </row>
    <row r="895" spans="2:4">
      <c r="B895" s="582"/>
      <c r="D895" s="582"/>
    </row>
    <row r="896" spans="2:4">
      <c r="B896" s="582"/>
      <c r="D896" s="582"/>
    </row>
    <row r="897" spans="2:4">
      <c r="B897" s="582"/>
      <c r="D897" s="582"/>
    </row>
    <row r="898" spans="2:4">
      <c r="B898" s="582"/>
      <c r="D898" s="582"/>
    </row>
    <row r="899" spans="2:4">
      <c r="B899" s="582"/>
      <c r="D899" s="582"/>
    </row>
    <row r="900" spans="2:4">
      <c r="B900" s="582"/>
      <c r="D900" s="582"/>
    </row>
    <row r="901" spans="2:4">
      <c r="B901" s="582"/>
      <c r="D901" s="582"/>
    </row>
    <row r="902" spans="2:4">
      <c r="B902" s="582"/>
      <c r="D902" s="582"/>
    </row>
    <row r="903" spans="2:4">
      <c r="B903" s="582"/>
      <c r="D903" s="582"/>
    </row>
    <row r="904" spans="2:4">
      <c r="B904" s="582"/>
      <c r="D904" s="582"/>
    </row>
    <row r="905" spans="2:4">
      <c r="B905" s="582"/>
      <c r="D905" s="582"/>
    </row>
    <row r="906" spans="2:4">
      <c r="B906" s="582"/>
      <c r="D906" s="582"/>
    </row>
    <row r="907" spans="2:4">
      <c r="B907" s="582"/>
      <c r="D907" s="582"/>
    </row>
    <row r="908" spans="2:4">
      <c r="B908" s="582"/>
      <c r="D908" s="582"/>
    </row>
    <row r="909" spans="2:4">
      <c r="B909" s="582"/>
      <c r="D909" s="582"/>
    </row>
    <row r="910" spans="2:4">
      <c r="B910" s="582"/>
      <c r="D910" s="582"/>
    </row>
    <row r="911" spans="2:4">
      <c r="B911" s="582"/>
      <c r="D911" s="582"/>
    </row>
    <row r="912" spans="2:4">
      <c r="B912" s="582"/>
      <c r="D912" s="582"/>
    </row>
  </sheetData>
  <mergeCells count="6">
    <mergeCell ref="B31:E31"/>
    <mergeCell ref="B2:F2"/>
    <mergeCell ref="A14:B14"/>
    <mergeCell ref="B15:E15"/>
    <mergeCell ref="B18:F18"/>
    <mergeCell ref="A30:B30"/>
  </mergeCells>
  <printOptions horizontalCentered="1" verticalCentered="1"/>
  <pageMargins left="0.51181102362204722" right="0.51181102362204722" top="0" bottom="0" header="0.31496062992125984" footer="0.31496062992125984"/>
  <pageSetup paperSize="9" scale="8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</sheetPr>
  <dimension ref="A1:X56"/>
  <sheetViews>
    <sheetView rightToLeft="1" topLeftCell="A21" zoomScale="78" zoomScaleNormal="78" workbookViewId="0">
      <selection sqref="A1:F34"/>
    </sheetView>
  </sheetViews>
  <sheetFormatPr defaultColWidth="8" defaultRowHeight="15.75"/>
  <cols>
    <col min="1" max="1" width="9.25" style="77" customWidth="1"/>
    <col min="2" max="2" width="12.875" style="77" customWidth="1"/>
    <col min="3" max="3" width="11.125" style="77" customWidth="1"/>
    <col min="4" max="4" width="11" style="77" customWidth="1"/>
    <col min="5" max="6" width="18.375" style="77" customWidth="1"/>
    <col min="7" max="7" width="8.75" style="77" bestFit="1" customWidth="1"/>
    <col min="8" max="8" width="8" style="77"/>
    <col min="9" max="9" width="9" style="77" bestFit="1" customWidth="1"/>
    <col min="10" max="10" width="12.875" style="77" customWidth="1"/>
    <col min="11" max="11" width="13" style="77" customWidth="1"/>
    <col min="12" max="12" width="12.625" style="77" customWidth="1"/>
    <col min="13" max="13" width="8" style="77"/>
    <col min="14" max="14" width="9" style="77" customWidth="1"/>
    <col min="15" max="17" width="8" style="77"/>
    <col min="18" max="18" width="10.75" style="77" customWidth="1"/>
    <col min="19" max="19" width="8" style="77"/>
    <col min="20" max="20" width="13.125" style="77" customWidth="1"/>
    <col min="21" max="21" width="8" style="77"/>
    <col min="22" max="22" width="9.125" style="77" bestFit="1" customWidth="1"/>
    <col min="23" max="16384" width="8" style="77"/>
  </cols>
  <sheetData>
    <row r="1" spans="1:18" ht="24">
      <c r="A1" s="3610" t="s">
        <v>1099</v>
      </c>
      <c r="B1" s="3610"/>
      <c r="C1" s="3610"/>
      <c r="D1" s="3610"/>
      <c r="E1" s="3610"/>
      <c r="F1" s="3610"/>
    </row>
    <row r="2" spans="1:18" ht="15" customHeight="1" thickBot="1">
      <c r="A2" s="3611" t="s">
        <v>1089</v>
      </c>
      <c r="B2" s="3611"/>
      <c r="C2" s="3611"/>
      <c r="D2" s="3611"/>
      <c r="E2" s="3611"/>
      <c r="F2" s="3611"/>
    </row>
    <row r="3" spans="1:18" ht="22.5" customHeight="1" thickBot="1">
      <c r="A3" s="3612" t="s">
        <v>1088</v>
      </c>
      <c r="B3" s="3614" t="s">
        <v>1098</v>
      </c>
      <c r="C3" s="3616" t="s">
        <v>888</v>
      </c>
      <c r="D3" s="3617"/>
      <c r="E3" s="3620" t="s">
        <v>1097</v>
      </c>
      <c r="F3" s="3621"/>
    </row>
    <row r="4" spans="1:18" ht="33.75" customHeight="1" thickBot="1">
      <c r="A4" s="3613"/>
      <c r="B4" s="3615"/>
      <c r="C4" s="3618"/>
      <c r="D4" s="3619"/>
      <c r="E4" s="1049" t="s">
        <v>287</v>
      </c>
      <c r="F4" s="838" t="s">
        <v>1087</v>
      </c>
      <c r="I4" s="1061"/>
      <c r="J4" s="1061"/>
      <c r="K4" s="80"/>
      <c r="L4" s="80"/>
      <c r="M4" s="80"/>
      <c r="N4" s="80"/>
      <c r="O4" s="80"/>
      <c r="P4" s="80"/>
      <c r="Q4" s="80"/>
      <c r="R4" s="80"/>
    </row>
    <row r="5" spans="1:18" ht="44.25" customHeight="1">
      <c r="A5" s="3612" t="s">
        <v>771</v>
      </c>
      <c r="B5" s="1067" t="s">
        <v>1093</v>
      </c>
      <c r="C5" s="3033" t="s">
        <v>675</v>
      </c>
      <c r="D5" s="3596"/>
      <c r="E5" s="386">
        <v>33</v>
      </c>
      <c r="F5" s="388">
        <v>23</v>
      </c>
      <c r="I5" s="1061"/>
      <c r="J5" s="1061"/>
      <c r="K5" s="1060"/>
      <c r="L5" s="80"/>
      <c r="M5" s="80"/>
      <c r="N5" s="80"/>
      <c r="O5" s="80"/>
      <c r="P5" s="80"/>
      <c r="Q5" s="80"/>
      <c r="R5" s="80"/>
    </row>
    <row r="6" spans="1:18" ht="44.25" customHeight="1">
      <c r="A6" s="3622"/>
      <c r="B6" s="1066" t="s">
        <v>1092</v>
      </c>
      <c r="C6" s="3623" t="s">
        <v>675</v>
      </c>
      <c r="D6" s="3624"/>
      <c r="E6" s="1065">
        <v>4</v>
      </c>
      <c r="F6" s="677">
        <v>0</v>
      </c>
      <c r="I6" s="1061"/>
      <c r="J6" s="1061"/>
      <c r="K6" s="1060"/>
      <c r="L6" s="80"/>
      <c r="M6" s="80"/>
      <c r="N6" s="80"/>
      <c r="O6" s="80"/>
      <c r="P6" s="80"/>
      <c r="Q6" s="80"/>
      <c r="R6" s="80"/>
    </row>
    <row r="7" spans="1:18" ht="51.75" customHeight="1" thickBot="1">
      <c r="A7" s="3622"/>
      <c r="B7" s="1064" t="s">
        <v>851</v>
      </c>
      <c r="C7" s="3625" t="s">
        <v>1094</v>
      </c>
      <c r="D7" s="3626"/>
      <c r="E7" s="398">
        <v>88</v>
      </c>
      <c r="F7" s="400">
        <f>88-16</f>
        <v>72</v>
      </c>
      <c r="G7" s="1063"/>
      <c r="H7" s="1063"/>
      <c r="I7" s="1062"/>
      <c r="J7" s="1061"/>
      <c r="K7" s="1060"/>
      <c r="L7" s="80"/>
      <c r="M7" s="80"/>
      <c r="N7" s="80"/>
      <c r="O7" s="80"/>
      <c r="P7" s="80"/>
      <c r="Q7" s="80"/>
      <c r="R7" s="80"/>
    </row>
    <row r="8" spans="1:18" ht="27.75" customHeight="1" thickBot="1">
      <c r="A8" s="3613"/>
      <c r="B8" s="3627" t="s">
        <v>49</v>
      </c>
      <c r="C8" s="3627"/>
      <c r="D8" s="3627"/>
      <c r="E8" s="402">
        <f>SUM(E5:E7)</f>
        <v>125</v>
      </c>
      <c r="F8" s="405">
        <f>SUM(F5:F7)</f>
        <v>95</v>
      </c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ht="24" customHeight="1">
      <c r="A9" s="3612" t="s">
        <v>1096</v>
      </c>
      <c r="B9" s="3639" t="s">
        <v>1093</v>
      </c>
      <c r="C9" s="3033" t="s">
        <v>675</v>
      </c>
      <c r="D9" s="3596"/>
      <c r="E9" s="3628">
        <f>577-57-7</f>
        <v>513</v>
      </c>
      <c r="F9" s="3630">
        <f>513+20-50</f>
        <v>483</v>
      </c>
      <c r="G9" s="687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ht="24" customHeight="1">
      <c r="A10" s="3622"/>
      <c r="B10" s="3640"/>
      <c r="C10" s="3623" t="s">
        <v>1091</v>
      </c>
      <c r="D10" s="3632"/>
      <c r="E10" s="3629"/>
      <c r="F10" s="3631"/>
      <c r="G10" s="687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1:18" ht="21.75" customHeight="1">
      <c r="A11" s="3622"/>
      <c r="B11" s="3633" t="s">
        <v>1092</v>
      </c>
      <c r="C11" s="3635" t="s">
        <v>675</v>
      </c>
      <c r="D11" s="3636"/>
      <c r="E11" s="3637">
        <f>122+57+7+4</f>
        <v>190</v>
      </c>
      <c r="F11" s="3638">
        <v>57</v>
      </c>
      <c r="G11" s="687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spans="1:18" ht="21.75" customHeight="1">
      <c r="A12" s="3622"/>
      <c r="B12" s="3634"/>
      <c r="C12" s="3623" t="s">
        <v>1091</v>
      </c>
      <c r="D12" s="3632"/>
      <c r="E12" s="3629"/>
      <c r="F12" s="3631"/>
      <c r="G12" s="687"/>
    </row>
    <row r="13" spans="1:18" ht="31.5" customHeight="1">
      <c r="A13" s="3622"/>
      <c r="B13" s="3641" t="s">
        <v>851</v>
      </c>
      <c r="C13" s="3623" t="s">
        <v>1095</v>
      </c>
      <c r="D13" s="3632"/>
      <c r="E13" s="392">
        <v>109</v>
      </c>
      <c r="F13" s="394">
        <v>30</v>
      </c>
      <c r="G13" s="687"/>
    </row>
    <row r="14" spans="1:18" ht="50.25" hidden="1" customHeight="1" thickBot="1">
      <c r="A14" s="3622"/>
      <c r="B14" s="3642"/>
      <c r="C14" s="3623" t="s">
        <v>1094</v>
      </c>
      <c r="D14" s="3632"/>
      <c r="E14" s="398"/>
      <c r="F14" s="400"/>
      <c r="G14" s="687"/>
    </row>
    <row r="15" spans="1:18" ht="30" customHeight="1" thickBot="1">
      <c r="A15" s="3622"/>
      <c r="B15" s="3642"/>
      <c r="C15" s="3625" t="s">
        <v>1094</v>
      </c>
      <c r="D15" s="3626"/>
      <c r="E15" s="398">
        <v>56</v>
      </c>
      <c r="F15" s="400">
        <f>46-14</f>
        <v>32</v>
      </c>
      <c r="G15" s="687"/>
    </row>
    <row r="16" spans="1:18" ht="22.5" customHeight="1" thickBot="1">
      <c r="A16" s="3613"/>
      <c r="B16" s="3627" t="s">
        <v>49</v>
      </c>
      <c r="C16" s="3627"/>
      <c r="D16" s="3627"/>
      <c r="E16" s="1059">
        <f>+E9+E10+E11+E12+E13+E15</f>
        <v>868</v>
      </c>
      <c r="F16" s="1058">
        <f>+F9+F10+F11+F12+F13+F15</f>
        <v>602</v>
      </c>
      <c r="G16" s="687"/>
    </row>
    <row r="17" spans="1:8" ht="25.5" customHeight="1">
      <c r="A17" s="3612" t="s">
        <v>1085</v>
      </c>
      <c r="B17" s="3639" t="s">
        <v>1093</v>
      </c>
      <c r="C17" s="3033" t="s">
        <v>675</v>
      </c>
      <c r="D17" s="3597"/>
      <c r="E17" s="3628">
        <v>812</v>
      </c>
      <c r="F17" s="3630">
        <f>651+25+50</f>
        <v>726</v>
      </c>
    </row>
    <row r="18" spans="1:8" ht="25.5" customHeight="1">
      <c r="A18" s="3622"/>
      <c r="B18" s="3640"/>
      <c r="C18" s="3623" t="s">
        <v>1091</v>
      </c>
      <c r="D18" s="3624"/>
      <c r="E18" s="3629"/>
      <c r="F18" s="3631"/>
    </row>
    <row r="19" spans="1:8" ht="23.25" customHeight="1">
      <c r="A19" s="3622"/>
      <c r="B19" s="3643" t="s">
        <v>1092</v>
      </c>
      <c r="C19" s="3623" t="s">
        <v>675</v>
      </c>
      <c r="D19" s="3624"/>
      <c r="E19" s="3637">
        <v>43</v>
      </c>
      <c r="F19" s="3646">
        <v>12</v>
      </c>
    </row>
    <row r="20" spans="1:8" ht="22.5" customHeight="1" thickBot="1">
      <c r="A20" s="3622"/>
      <c r="B20" s="3644"/>
      <c r="C20" s="3625" t="s">
        <v>1091</v>
      </c>
      <c r="D20" s="3648"/>
      <c r="E20" s="3645"/>
      <c r="F20" s="3647"/>
    </row>
    <row r="21" spans="1:8" ht="27.75" customHeight="1" thickBot="1">
      <c r="A21" s="3613"/>
      <c r="B21" s="3620" t="s">
        <v>49</v>
      </c>
      <c r="C21" s="3627"/>
      <c r="D21" s="3621"/>
      <c r="E21" s="1057">
        <f>SUM(E17:E20)</f>
        <v>855</v>
      </c>
      <c r="F21" s="405">
        <f>+F17+F18+F19+F20</f>
        <v>738</v>
      </c>
    </row>
    <row r="22" spans="1:8" ht="27.75" customHeight="1" thickBot="1">
      <c r="A22" s="3620" t="s">
        <v>387</v>
      </c>
      <c r="B22" s="3627"/>
      <c r="C22" s="3627"/>
      <c r="D22" s="3621"/>
      <c r="E22" s="402">
        <f>+E21+E16+E8</f>
        <v>1848</v>
      </c>
      <c r="F22" s="405">
        <f>+F21+F16+F8</f>
        <v>1435</v>
      </c>
    </row>
    <row r="23" spans="1:8">
      <c r="A23" s="1053"/>
      <c r="B23" s="1053"/>
      <c r="C23" s="1053"/>
      <c r="D23" s="1053"/>
      <c r="E23" s="1053"/>
      <c r="F23" s="1053"/>
    </row>
    <row r="24" spans="1:8" ht="15.75" customHeight="1">
      <c r="A24" s="1053"/>
      <c r="B24" s="1053"/>
      <c r="C24" s="1053"/>
      <c r="D24" s="1053"/>
      <c r="E24" s="1053"/>
      <c r="F24" s="1053"/>
    </row>
    <row r="25" spans="1:8" ht="24">
      <c r="A25" s="3022" t="s">
        <v>1090</v>
      </c>
      <c r="B25" s="3022"/>
      <c r="C25" s="3022"/>
      <c r="D25" s="3022"/>
      <c r="E25" s="3022"/>
      <c r="F25" s="3022"/>
    </row>
    <row r="26" spans="1:8" ht="15" customHeight="1" thickBot="1">
      <c r="A26" s="3649" t="s">
        <v>1089</v>
      </c>
      <c r="B26" s="3649"/>
      <c r="C26" s="3649"/>
      <c r="D26" s="3649"/>
      <c r="E26" s="3649"/>
      <c r="F26" s="3649"/>
    </row>
    <row r="27" spans="1:8" ht="22.5" customHeight="1" thickBot="1">
      <c r="A27" s="3650" t="s">
        <v>1088</v>
      </c>
      <c r="B27" s="3617"/>
      <c r="C27" s="3650" t="s">
        <v>1081</v>
      </c>
      <c r="D27" s="3617"/>
      <c r="E27" s="3617"/>
      <c r="F27" s="3598"/>
    </row>
    <row r="28" spans="1:8" ht="56.25" customHeight="1" thickBot="1">
      <c r="A28" s="3651"/>
      <c r="B28" s="3619"/>
      <c r="C28" s="3620" t="s">
        <v>287</v>
      </c>
      <c r="D28" s="3652"/>
      <c r="E28" s="3653" t="s">
        <v>1087</v>
      </c>
      <c r="F28" s="3654"/>
    </row>
    <row r="29" spans="1:8" ht="14.25" customHeight="1">
      <c r="A29" s="3650" t="s">
        <v>1086</v>
      </c>
      <c r="B29" s="3617"/>
      <c r="C29" s="3656">
        <v>238</v>
      </c>
      <c r="D29" s="3657"/>
      <c r="E29" s="3660">
        <f>47+30+24+16</f>
        <v>117</v>
      </c>
      <c r="F29" s="3661"/>
    </row>
    <row r="30" spans="1:8" ht="14.25" customHeight="1">
      <c r="A30" s="3655"/>
      <c r="B30" s="3636"/>
      <c r="C30" s="3658"/>
      <c r="D30" s="3659"/>
      <c r="E30" s="3660"/>
      <c r="F30" s="3661"/>
      <c r="G30" s="1053"/>
      <c r="H30" s="1053"/>
    </row>
    <row r="31" spans="1:8" ht="14.25" customHeight="1">
      <c r="A31" s="3662" t="s">
        <v>1085</v>
      </c>
      <c r="B31" s="3626"/>
      <c r="C31" s="3663">
        <f>349-C29</f>
        <v>111</v>
      </c>
      <c r="D31" s="3664"/>
      <c r="E31" s="3665">
        <f>159-E29</f>
        <v>42</v>
      </c>
      <c r="F31" s="3666"/>
      <c r="G31" s="1053"/>
      <c r="H31" s="1053"/>
    </row>
    <row r="32" spans="1:8" ht="14.25" customHeight="1">
      <c r="A32" s="3655"/>
      <c r="B32" s="3636"/>
      <c r="C32" s="3658"/>
      <c r="D32" s="3659"/>
      <c r="E32" s="3667"/>
      <c r="F32" s="3668"/>
    </row>
    <row r="33" spans="1:24" ht="22.5" customHeight="1" thickBot="1">
      <c r="A33" s="3669" t="s">
        <v>423</v>
      </c>
      <c r="B33" s="3670"/>
      <c r="C33" s="3671">
        <f>SUM(C29:D32)</f>
        <v>349</v>
      </c>
      <c r="D33" s="3672"/>
      <c r="E33" s="3671">
        <f>SUM(E29:F32)</f>
        <v>159</v>
      </c>
      <c r="F33" s="3672"/>
    </row>
    <row r="34" spans="1:24">
      <c r="A34" s="1056" t="s">
        <v>1084</v>
      </c>
      <c r="B34" s="1056"/>
      <c r="C34" s="1055"/>
      <c r="D34" s="1055"/>
      <c r="E34" s="1055"/>
      <c r="F34" s="1036"/>
    </row>
    <row r="35" spans="1:24">
      <c r="A35" s="1053"/>
      <c r="B35" s="1053"/>
      <c r="C35" s="1054"/>
      <c r="D35" s="1054"/>
      <c r="E35" s="1054"/>
      <c r="F35" s="1036"/>
    </row>
    <row r="36" spans="1:24">
      <c r="A36" s="1053"/>
      <c r="B36" s="1053"/>
      <c r="C36" s="1054"/>
      <c r="D36" s="1054"/>
      <c r="E36" s="1054"/>
      <c r="F36" s="1036"/>
    </row>
    <row r="37" spans="1:24">
      <c r="A37" s="1053"/>
      <c r="B37" s="1053"/>
      <c r="C37" s="1053"/>
      <c r="D37" s="1053"/>
      <c r="E37" s="1053"/>
      <c r="F37" s="1036"/>
    </row>
    <row r="38" spans="1:24" ht="24.75" thickBot="1">
      <c r="C38" s="1052"/>
      <c r="D38" s="1052"/>
      <c r="E38" s="1052"/>
      <c r="F38" s="1036"/>
      <c r="G38" s="1052"/>
      <c r="H38" s="1052"/>
      <c r="J38" s="3099" t="s">
        <v>1083</v>
      </c>
      <c r="K38" s="3099"/>
      <c r="L38" s="3099"/>
      <c r="M38" s="3099"/>
      <c r="N38" s="3099"/>
      <c r="O38" s="3099"/>
      <c r="P38" s="3099"/>
      <c r="Q38" s="1051"/>
      <c r="R38" s="3099" t="s">
        <v>1082</v>
      </c>
      <c r="S38" s="3099"/>
      <c r="T38" s="3099"/>
      <c r="U38" s="3099"/>
      <c r="V38" s="3099"/>
      <c r="W38" s="3099"/>
      <c r="X38" s="3099"/>
    </row>
    <row r="39" spans="1:24" ht="20.25" thickBot="1">
      <c r="C39" s="3673"/>
      <c r="D39" s="1050"/>
      <c r="E39" s="1050"/>
      <c r="F39" s="1036"/>
      <c r="G39" s="3673"/>
      <c r="H39" s="3673"/>
      <c r="J39" s="3674" t="s">
        <v>1</v>
      </c>
      <c r="K39" s="3617" t="s">
        <v>1081</v>
      </c>
      <c r="L39" s="3617"/>
      <c r="M39" s="3617"/>
      <c r="N39" s="3617"/>
      <c r="O39" s="3617"/>
      <c r="P39" s="3598"/>
      <c r="R39" s="3674" t="s">
        <v>1</v>
      </c>
      <c r="S39" s="3617" t="s">
        <v>1081</v>
      </c>
      <c r="T39" s="3617"/>
      <c r="U39" s="3617"/>
      <c r="V39" s="3617"/>
      <c r="W39" s="3617"/>
      <c r="X39" s="3598"/>
    </row>
    <row r="40" spans="1:24" ht="48" customHeight="1" thickBot="1">
      <c r="C40" s="3673"/>
      <c r="D40" s="1050"/>
      <c r="E40" s="1050"/>
      <c r="F40" s="1036"/>
      <c r="G40" s="1050"/>
      <c r="H40" s="1050"/>
      <c r="J40" s="3675"/>
      <c r="K40" s="1049" t="s">
        <v>287</v>
      </c>
      <c r="L40" s="1048" t="s">
        <v>1080</v>
      </c>
      <c r="M40" s="474"/>
      <c r="N40" s="1046"/>
      <c r="O40" s="1047"/>
      <c r="P40" s="1046"/>
      <c r="R40" s="3675"/>
      <c r="S40" s="1049" t="s">
        <v>287</v>
      </c>
      <c r="T40" s="1048" t="s">
        <v>1080</v>
      </c>
      <c r="U40" s="474"/>
      <c r="V40" s="1046"/>
      <c r="W40" s="1047"/>
      <c r="X40" s="1046"/>
    </row>
    <row r="41" spans="1:24" ht="24">
      <c r="C41" s="1037"/>
      <c r="D41" s="1036"/>
      <c r="E41" s="1036"/>
      <c r="F41" s="1036"/>
      <c r="G41" s="1036"/>
      <c r="H41" s="1036"/>
      <c r="J41" s="694" t="s">
        <v>37</v>
      </c>
      <c r="K41" s="1045">
        <v>1830</v>
      </c>
      <c r="L41" s="1044">
        <v>1401</v>
      </c>
      <c r="M41" s="1043"/>
      <c r="N41" s="1043"/>
      <c r="O41" s="1043"/>
      <c r="P41" s="1042"/>
      <c r="R41" s="694" t="s">
        <v>37</v>
      </c>
      <c r="S41" s="1045">
        <v>373</v>
      </c>
      <c r="T41" s="1044">
        <v>204</v>
      </c>
      <c r="U41" s="1043"/>
      <c r="V41" s="1043"/>
      <c r="W41" s="1043"/>
      <c r="X41" s="1042"/>
    </row>
    <row r="42" spans="1:24" ht="24">
      <c r="C42" s="1037"/>
      <c r="D42" s="1036"/>
      <c r="E42" s="1036"/>
      <c r="F42" s="1036"/>
      <c r="G42" s="1036"/>
      <c r="H42" s="1036"/>
      <c r="J42" s="686" t="s">
        <v>38</v>
      </c>
      <c r="K42" s="1041">
        <v>1830</v>
      </c>
      <c r="L42" s="1040">
        <v>1404</v>
      </c>
      <c r="M42" s="1039"/>
      <c r="N42" s="1039"/>
      <c r="O42" s="1039"/>
      <c r="P42" s="1038"/>
      <c r="R42" s="686" t="s">
        <v>38</v>
      </c>
      <c r="S42" s="1041">
        <v>374</v>
      </c>
      <c r="T42" s="1040">
        <v>199</v>
      </c>
      <c r="U42" s="1039"/>
      <c r="V42" s="1039"/>
      <c r="W42" s="1039"/>
      <c r="X42" s="1038"/>
    </row>
    <row r="43" spans="1:24" ht="24">
      <c r="C43" s="1037"/>
      <c r="D43" s="1036"/>
      <c r="E43" s="1036"/>
      <c r="F43" s="1036"/>
      <c r="G43" s="1036"/>
      <c r="H43" s="1036"/>
      <c r="J43" s="686" t="s">
        <v>39</v>
      </c>
      <c r="K43" s="1041">
        <v>1830</v>
      </c>
      <c r="L43" s="1040">
        <v>1419</v>
      </c>
      <c r="M43" s="1039"/>
      <c r="N43" s="1039"/>
      <c r="O43" s="1039"/>
      <c r="P43" s="1038"/>
      <c r="R43" s="686" t="s">
        <v>39</v>
      </c>
      <c r="S43" s="1041">
        <v>349</v>
      </c>
      <c r="T43" s="1040">
        <v>198</v>
      </c>
      <c r="U43" s="1039"/>
      <c r="V43" s="1039"/>
      <c r="W43" s="1039"/>
      <c r="X43" s="1038"/>
    </row>
    <row r="44" spans="1:24" ht="24">
      <c r="C44" s="1037"/>
      <c r="D44" s="1036"/>
      <c r="E44" s="1036"/>
      <c r="F44" s="1036"/>
      <c r="G44" s="1036"/>
      <c r="H44" s="1036"/>
      <c r="J44" s="686" t="s">
        <v>40</v>
      </c>
      <c r="K44" s="1041">
        <v>1830</v>
      </c>
      <c r="L44" s="1040">
        <v>1442</v>
      </c>
      <c r="M44" s="1039"/>
      <c r="N44" s="1039"/>
      <c r="O44" s="1039"/>
      <c r="P44" s="1038"/>
      <c r="R44" s="686" t="s">
        <v>40</v>
      </c>
      <c r="S44" s="1041">
        <v>349</v>
      </c>
      <c r="T44" s="1040">
        <v>198</v>
      </c>
      <c r="U44" s="1039"/>
      <c r="V44" s="1039"/>
      <c r="W44" s="1039"/>
      <c r="X44" s="1038"/>
    </row>
    <row r="45" spans="1:24" ht="24">
      <c r="C45" s="1037"/>
      <c r="D45" s="1036"/>
      <c r="E45" s="1036"/>
      <c r="F45" s="407"/>
      <c r="G45" s="1036"/>
      <c r="H45" s="1036"/>
      <c r="J45" s="686" t="s">
        <v>41</v>
      </c>
      <c r="K45" s="1041">
        <v>1830</v>
      </c>
      <c r="L45" s="1040">
        <v>1368</v>
      </c>
      <c r="M45" s="1039"/>
      <c r="N45" s="1039"/>
      <c r="O45" s="1039"/>
      <c r="P45" s="1038"/>
      <c r="R45" s="686" t="s">
        <v>41</v>
      </c>
      <c r="S45" s="1041">
        <v>349</v>
      </c>
      <c r="T45" s="1040">
        <v>210</v>
      </c>
      <c r="U45" s="1039"/>
      <c r="V45" s="1039"/>
      <c r="W45" s="1039"/>
      <c r="X45" s="1038"/>
    </row>
    <row r="46" spans="1:24" ht="24">
      <c r="C46" s="1037"/>
      <c r="D46" s="1036"/>
      <c r="E46" s="1036"/>
      <c r="F46" s="80"/>
      <c r="G46" s="1036"/>
      <c r="H46" s="1036"/>
      <c r="J46" s="686" t="s">
        <v>42</v>
      </c>
      <c r="K46" s="1041">
        <v>1830</v>
      </c>
      <c r="L46" s="1040">
        <v>1401</v>
      </c>
      <c r="M46" s="1039"/>
      <c r="N46" s="1039"/>
      <c r="O46" s="1039"/>
      <c r="P46" s="1038"/>
      <c r="R46" s="686" t="s">
        <v>42</v>
      </c>
      <c r="S46" s="1041">
        <v>349</v>
      </c>
      <c r="T46" s="1040">
        <v>216</v>
      </c>
      <c r="U46" s="1039"/>
      <c r="V46" s="1039"/>
      <c r="W46" s="1039"/>
      <c r="X46" s="1038"/>
    </row>
    <row r="47" spans="1:24" ht="24">
      <c r="C47" s="1037"/>
      <c r="D47" s="1036"/>
      <c r="E47" s="1036"/>
      <c r="G47" s="1036"/>
      <c r="H47" s="1036"/>
      <c r="J47" s="686" t="s">
        <v>43</v>
      </c>
      <c r="K47" s="1041">
        <v>1830</v>
      </c>
      <c r="L47" s="1040">
        <v>1409</v>
      </c>
      <c r="M47" s="1039"/>
      <c r="N47" s="1039"/>
      <c r="O47" s="1039"/>
      <c r="P47" s="1038"/>
      <c r="R47" s="686" t="s">
        <v>43</v>
      </c>
      <c r="S47" s="1041">
        <v>349</v>
      </c>
      <c r="T47" s="1040">
        <v>211</v>
      </c>
      <c r="U47" s="1039"/>
      <c r="V47" s="1039"/>
      <c r="W47" s="1039"/>
      <c r="X47" s="1038"/>
    </row>
    <row r="48" spans="1:24" ht="24">
      <c r="C48" s="1037"/>
      <c r="D48" s="1036"/>
      <c r="E48" s="1036"/>
      <c r="G48" s="1036"/>
      <c r="H48" s="1036"/>
      <c r="J48" s="686" t="s">
        <v>405</v>
      </c>
      <c r="K48" s="1041">
        <v>1840</v>
      </c>
      <c r="L48" s="1040">
        <v>1402</v>
      </c>
      <c r="M48" s="1039"/>
      <c r="N48" s="1039"/>
      <c r="O48" s="1039"/>
      <c r="P48" s="1038"/>
      <c r="R48" s="686" t="s">
        <v>405</v>
      </c>
      <c r="S48" s="1041">
        <v>349</v>
      </c>
      <c r="T48" s="1040">
        <v>217</v>
      </c>
      <c r="U48" s="1039"/>
      <c r="V48" s="1039"/>
      <c r="W48" s="1039"/>
      <c r="X48" s="1038"/>
    </row>
    <row r="49" spans="3:24" ht="24">
      <c r="C49" s="1037"/>
      <c r="D49" s="1036"/>
      <c r="E49" s="1036"/>
      <c r="G49" s="1036"/>
      <c r="H49" s="1036"/>
      <c r="J49" s="686" t="s">
        <v>45</v>
      </c>
      <c r="K49" s="1041">
        <v>1840</v>
      </c>
      <c r="L49" s="1040">
        <v>1408</v>
      </c>
      <c r="M49" s="1039"/>
      <c r="N49" s="1039"/>
      <c r="O49" s="1039"/>
      <c r="P49" s="1038"/>
      <c r="R49" s="686" t="s">
        <v>45</v>
      </c>
      <c r="S49" s="1041">
        <v>349</v>
      </c>
      <c r="T49" s="1040">
        <v>202</v>
      </c>
      <c r="U49" s="1039"/>
      <c r="V49" s="1039"/>
      <c r="W49" s="1039"/>
      <c r="X49" s="1038"/>
    </row>
    <row r="50" spans="3:24" ht="24">
      <c r="C50" s="1037"/>
      <c r="D50" s="1036"/>
      <c r="E50" s="1036"/>
      <c r="G50" s="1036"/>
      <c r="H50" s="1036"/>
      <c r="J50" s="686" t="s">
        <v>406</v>
      </c>
      <c r="K50" s="1041">
        <v>1840</v>
      </c>
      <c r="L50" s="1040">
        <v>1417</v>
      </c>
      <c r="M50" s="1039"/>
      <c r="N50" s="1039"/>
      <c r="O50" s="1039"/>
      <c r="P50" s="1038"/>
      <c r="R50" s="686" t="s">
        <v>406</v>
      </c>
      <c r="S50" s="1041">
        <v>349</v>
      </c>
      <c r="T50" s="1040">
        <v>179</v>
      </c>
      <c r="U50" s="1039"/>
      <c r="V50" s="1039"/>
      <c r="W50" s="1039"/>
      <c r="X50" s="1038"/>
    </row>
    <row r="51" spans="3:24" ht="24">
      <c r="C51" s="1037"/>
      <c r="D51" s="1036"/>
      <c r="E51" s="1036"/>
      <c r="G51" s="1036"/>
      <c r="H51" s="1036"/>
      <c r="J51" s="686" t="s">
        <v>47</v>
      </c>
      <c r="K51" s="1041">
        <v>1840</v>
      </c>
      <c r="L51" s="1040">
        <v>1425</v>
      </c>
      <c r="M51" s="1039"/>
      <c r="N51" s="1039"/>
      <c r="O51" s="1039"/>
      <c r="P51" s="1038"/>
      <c r="R51" s="686" t="s">
        <v>47</v>
      </c>
      <c r="S51" s="1041">
        <v>349</v>
      </c>
      <c r="T51" s="1040">
        <v>191</v>
      </c>
      <c r="U51" s="1039"/>
      <c r="V51" s="1039"/>
      <c r="W51" s="1039"/>
      <c r="X51" s="1038"/>
    </row>
    <row r="52" spans="3:24" ht="24.75" thickBot="1">
      <c r="C52" s="1037"/>
      <c r="D52" s="407"/>
      <c r="E52" s="407"/>
      <c r="G52" s="1036"/>
      <c r="H52" s="407"/>
      <c r="J52" s="685" t="s">
        <v>48</v>
      </c>
      <c r="K52" s="1035">
        <v>1848</v>
      </c>
      <c r="L52" s="1034">
        <v>1435</v>
      </c>
      <c r="M52" s="1033"/>
      <c r="N52" s="1033"/>
      <c r="O52" s="1033"/>
      <c r="P52" s="1032"/>
      <c r="R52" s="685" t="s">
        <v>48</v>
      </c>
      <c r="S52" s="1035">
        <v>349</v>
      </c>
      <c r="T52" s="1034">
        <v>188</v>
      </c>
      <c r="U52" s="1033"/>
      <c r="V52" s="1033"/>
      <c r="W52" s="1033"/>
      <c r="X52" s="1032"/>
    </row>
    <row r="53" spans="3:24">
      <c r="C53" s="80"/>
      <c r="D53" s="80"/>
      <c r="E53" s="80"/>
      <c r="G53" s="80"/>
      <c r="H53" s="80"/>
      <c r="J53" s="77" t="s">
        <v>1079</v>
      </c>
      <c r="R53" s="77" t="s">
        <v>1079</v>
      </c>
    </row>
    <row r="54" spans="3:24">
      <c r="O54" s="81">
        <f>SUM(O41:O52)</f>
        <v>0</v>
      </c>
      <c r="P54" s="81">
        <f>SUM(P41:P52)</f>
        <v>0</v>
      </c>
      <c r="W54" s="81">
        <f>SUM(W41:W52)</f>
        <v>0</v>
      </c>
      <c r="X54" s="81">
        <f>SUM(X41:X52)</f>
        <v>0</v>
      </c>
    </row>
    <row r="55" spans="3:24">
      <c r="O55" s="81">
        <f>+O54/12</f>
        <v>0</v>
      </c>
      <c r="P55" s="81">
        <f>+P54/12</f>
        <v>0</v>
      </c>
      <c r="W55" s="81">
        <f>+W54/12</f>
        <v>0</v>
      </c>
      <c r="X55" s="81">
        <f>+X54/12</f>
        <v>0</v>
      </c>
    </row>
    <row r="56" spans="3:24">
      <c r="O56" s="81">
        <f>+O55+P55</f>
        <v>0</v>
      </c>
      <c r="P56" s="81"/>
      <c r="W56" s="81">
        <f>+W55+X55</f>
        <v>0</v>
      </c>
      <c r="X56" s="81"/>
    </row>
  </sheetData>
  <mergeCells count="63">
    <mergeCell ref="S39:X39"/>
    <mergeCell ref="A33:B33"/>
    <mergeCell ref="C33:D33"/>
    <mergeCell ref="E33:F33"/>
    <mergeCell ref="J38:P38"/>
    <mergeCell ref="R38:X38"/>
    <mergeCell ref="C39:C40"/>
    <mergeCell ref="G39:H39"/>
    <mergeCell ref="J39:J40"/>
    <mergeCell ref="K39:P39"/>
    <mergeCell ref="R39:R40"/>
    <mergeCell ref="A29:B30"/>
    <mergeCell ref="C29:D30"/>
    <mergeCell ref="E29:F30"/>
    <mergeCell ref="A31:B32"/>
    <mergeCell ref="C31:D32"/>
    <mergeCell ref="E31:F32"/>
    <mergeCell ref="A22:D22"/>
    <mergeCell ref="A25:F25"/>
    <mergeCell ref="A26:F26"/>
    <mergeCell ref="A27:B28"/>
    <mergeCell ref="C27:F27"/>
    <mergeCell ref="C28:D28"/>
    <mergeCell ref="E28:F28"/>
    <mergeCell ref="E17:E18"/>
    <mergeCell ref="F17:F18"/>
    <mergeCell ref="C18:D18"/>
    <mergeCell ref="B19:B20"/>
    <mergeCell ref="C19:D19"/>
    <mergeCell ref="E19:E20"/>
    <mergeCell ref="F19:F20"/>
    <mergeCell ref="C20:D20"/>
    <mergeCell ref="C14:D14"/>
    <mergeCell ref="C15:D15"/>
    <mergeCell ref="B16:D16"/>
    <mergeCell ref="A17:A21"/>
    <mergeCell ref="B17:B18"/>
    <mergeCell ref="C17:D17"/>
    <mergeCell ref="B21:D21"/>
    <mergeCell ref="A9:A16"/>
    <mergeCell ref="B13:B15"/>
    <mergeCell ref="C13:D13"/>
    <mergeCell ref="E9:E10"/>
    <mergeCell ref="F9:F10"/>
    <mergeCell ref="C10:D10"/>
    <mergeCell ref="B11:B12"/>
    <mergeCell ref="C11:D11"/>
    <mergeCell ref="E11:E12"/>
    <mergeCell ref="F11:F12"/>
    <mergeCell ref="C12:D12"/>
    <mergeCell ref="B9:B10"/>
    <mergeCell ref="C9:D9"/>
    <mergeCell ref="A5:A8"/>
    <mergeCell ref="C5:D5"/>
    <mergeCell ref="C6:D6"/>
    <mergeCell ref="C7:D7"/>
    <mergeCell ref="B8:D8"/>
    <mergeCell ref="A1:F1"/>
    <mergeCell ref="A2:F2"/>
    <mergeCell ref="A3:A4"/>
    <mergeCell ref="B3:B4"/>
    <mergeCell ref="C3:D4"/>
    <mergeCell ref="E3:F3"/>
  </mergeCells>
  <printOptions horizontalCentered="1" verticalCentered="1"/>
  <pageMargins left="0.39370078740157483" right="0.35433070866141736" top="0.23622047244094491" bottom="0.31496062992125984" header="0.51181102362204722" footer="0.51181102362204722"/>
  <pageSetup paperSize="9" scale="85" firstPageNumber="125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  <pageSetUpPr fitToPage="1"/>
  </sheetPr>
  <dimension ref="A1:I31"/>
  <sheetViews>
    <sheetView rightToLeft="1" topLeftCell="A7" zoomScaleNormal="100" workbookViewId="0">
      <selection sqref="A1:F31"/>
    </sheetView>
  </sheetViews>
  <sheetFormatPr defaultColWidth="10.375" defaultRowHeight="14.25"/>
  <cols>
    <col min="1" max="1" width="6" style="530" bestFit="1" customWidth="1"/>
    <col min="2" max="2" width="29.25" style="530" customWidth="1"/>
    <col min="3" max="5" width="18.125" style="530" customWidth="1"/>
    <col min="6" max="6" width="23.625" style="530" customWidth="1"/>
    <col min="7" max="7" width="14.625" style="530" bestFit="1" customWidth="1"/>
    <col min="8" max="8" width="14.125" style="530" customWidth="1"/>
    <col min="9" max="16384" width="10.375" style="530"/>
  </cols>
  <sheetData>
    <row r="1" spans="1:8" ht="24.75" thickBot="1">
      <c r="A1" s="3040" t="s">
        <v>799</v>
      </c>
      <c r="B1" s="3040"/>
      <c r="C1" s="3040"/>
      <c r="D1" s="3040"/>
      <c r="E1" s="3040"/>
      <c r="F1" s="3040"/>
    </row>
    <row r="2" spans="1:8" ht="21.75" thickBot="1">
      <c r="A2" s="616" t="s">
        <v>795</v>
      </c>
      <c r="B2" s="617" t="s">
        <v>800</v>
      </c>
      <c r="C2" s="618" t="s">
        <v>725</v>
      </c>
      <c r="D2" s="619" t="s">
        <v>726</v>
      </c>
      <c r="E2" s="619" t="s">
        <v>718</v>
      </c>
      <c r="F2" s="620" t="s">
        <v>49</v>
      </c>
    </row>
    <row r="3" spans="1:8" ht="19.5">
      <c r="A3" s="621">
        <v>1</v>
      </c>
      <c r="B3" s="622" t="s">
        <v>798</v>
      </c>
      <c r="C3" s="622">
        <v>9708311.7046540324</v>
      </c>
      <c r="D3" s="622">
        <v>5440876</v>
      </c>
      <c r="E3" s="623">
        <v>0</v>
      </c>
      <c r="F3" s="624">
        <f t="shared" ref="F3:F14" si="0">SUM(C3:E3)</f>
        <v>15149187.704654032</v>
      </c>
    </row>
    <row r="4" spans="1:8" ht="19.5">
      <c r="A4" s="625">
        <v>2</v>
      </c>
      <c r="B4" s="623" t="s">
        <v>771</v>
      </c>
      <c r="C4" s="623">
        <v>672</v>
      </c>
      <c r="D4" s="623">
        <v>7904736</v>
      </c>
      <c r="E4" s="623">
        <v>0</v>
      </c>
      <c r="F4" s="626">
        <f t="shared" si="0"/>
        <v>7905408</v>
      </c>
    </row>
    <row r="5" spans="1:8" ht="19.5">
      <c r="A5" s="625">
        <v>3</v>
      </c>
      <c r="B5" s="623" t="s">
        <v>801</v>
      </c>
      <c r="C5" s="623">
        <v>2599836.5532902195</v>
      </c>
      <c r="D5" s="623">
        <v>0</v>
      </c>
      <c r="E5" s="623">
        <v>43392</v>
      </c>
      <c r="F5" s="626">
        <f t="shared" si="0"/>
        <v>2643228.5532902195</v>
      </c>
    </row>
    <row r="6" spans="1:8" ht="19.5">
      <c r="A6" s="625">
        <v>4</v>
      </c>
      <c r="B6" s="623" t="s">
        <v>773</v>
      </c>
      <c r="C6" s="623">
        <v>2050211.2765063527</v>
      </c>
      <c r="D6" s="623">
        <v>0</v>
      </c>
      <c r="E6" s="623">
        <v>0</v>
      </c>
      <c r="F6" s="626">
        <f t="shared" si="0"/>
        <v>2050211.2765063527</v>
      </c>
    </row>
    <row r="7" spans="1:8" ht="19.5">
      <c r="A7" s="625">
        <v>5</v>
      </c>
      <c r="B7" s="623" t="s">
        <v>802</v>
      </c>
      <c r="C7" s="623">
        <v>1992050.3165815268</v>
      </c>
      <c r="D7" s="623">
        <v>0</v>
      </c>
      <c r="E7" s="623">
        <v>0</v>
      </c>
      <c r="F7" s="626">
        <f t="shared" si="0"/>
        <v>1992050.3165815268</v>
      </c>
    </row>
    <row r="8" spans="1:8" ht="19.5">
      <c r="A8" s="625">
        <v>6</v>
      </c>
      <c r="B8" s="623" t="s">
        <v>803</v>
      </c>
      <c r="C8" s="623">
        <v>1711816.6935117566</v>
      </c>
      <c r="D8" s="623">
        <v>0</v>
      </c>
      <c r="E8" s="623">
        <v>0</v>
      </c>
      <c r="F8" s="626">
        <f t="shared" si="0"/>
        <v>1711816.6935117566</v>
      </c>
    </row>
    <row r="9" spans="1:8" ht="19.5">
      <c r="A9" s="625">
        <v>7</v>
      </c>
      <c r="B9" s="623" t="s">
        <v>804</v>
      </c>
      <c r="C9" s="623">
        <v>1987676.602548169</v>
      </c>
      <c r="D9" s="623">
        <v>0</v>
      </c>
      <c r="E9" s="623">
        <v>0</v>
      </c>
      <c r="F9" s="626">
        <f t="shared" si="0"/>
        <v>1987676.602548169</v>
      </c>
    </row>
    <row r="10" spans="1:8" ht="19.5">
      <c r="A10" s="625">
        <v>8</v>
      </c>
      <c r="B10" s="623" t="s">
        <v>777</v>
      </c>
      <c r="C10" s="623">
        <v>1235319.8333072085</v>
      </c>
      <c r="D10" s="623">
        <v>0</v>
      </c>
      <c r="E10" s="623">
        <v>0</v>
      </c>
      <c r="F10" s="626">
        <f t="shared" si="0"/>
        <v>1235319.8333072085</v>
      </c>
    </row>
    <row r="11" spans="1:8" ht="19.5">
      <c r="A11" s="625">
        <v>9</v>
      </c>
      <c r="B11" s="623" t="s">
        <v>778</v>
      </c>
      <c r="C11" s="623">
        <v>973746.29600076983</v>
      </c>
      <c r="D11" s="623">
        <v>0</v>
      </c>
      <c r="E11" s="623">
        <v>0</v>
      </c>
      <c r="F11" s="626">
        <f t="shared" si="0"/>
        <v>973746.29600076983</v>
      </c>
    </row>
    <row r="12" spans="1:8" ht="19.5">
      <c r="A12" s="625">
        <v>10</v>
      </c>
      <c r="B12" s="623" t="s">
        <v>805</v>
      </c>
      <c r="C12" s="623">
        <v>0</v>
      </c>
      <c r="D12" s="623">
        <v>0</v>
      </c>
      <c r="E12" s="623">
        <v>0</v>
      </c>
      <c r="F12" s="626">
        <f t="shared" si="0"/>
        <v>0</v>
      </c>
    </row>
    <row r="13" spans="1:8" ht="19.5">
      <c r="A13" s="625">
        <v>11</v>
      </c>
      <c r="B13" s="623" t="s">
        <v>806</v>
      </c>
      <c r="C13" s="623">
        <v>317032.72359996411</v>
      </c>
      <c r="D13" s="623">
        <v>0</v>
      </c>
      <c r="E13" s="623">
        <v>0</v>
      </c>
      <c r="F13" s="626">
        <f t="shared" si="0"/>
        <v>317032.72359996411</v>
      </c>
    </row>
    <row r="14" spans="1:8" ht="20.25" thickBot="1">
      <c r="A14" s="3677" t="s">
        <v>49</v>
      </c>
      <c r="B14" s="3678"/>
      <c r="C14" s="627">
        <f>SUM(C3:C13)</f>
        <v>22576674</v>
      </c>
      <c r="D14" s="627">
        <f>SUM(D3:D13)</f>
        <v>13345612</v>
      </c>
      <c r="E14" s="627">
        <f>SUM(E3:E13)</f>
        <v>43392</v>
      </c>
      <c r="F14" s="628">
        <f t="shared" si="0"/>
        <v>35965678</v>
      </c>
      <c r="G14" s="629"/>
      <c r="H14" s="629"/>
    </row>
    <row r="15" spans="1:8" ht="30.75" customHeight="1">
      <c r="B15" s="3676" t="s">
        <v>780</v>
      </c>
      <c r="C15" s="3676"/>
      <c r="D15" s="3676"/>
      <c r="E15" s="3676"/>
      <c r="F15" s="629"/>
    </row>
    <row r="16" spans="1:8" ht="45" customHeight="1">
      <c r="B16" s="630"/>
      <c r="C16" s="630"/>
      <c r="D16" s="630"/>
      <c r="E16" s="630"/>
      <c r="F16" s="629"/>
    </row>
    <row r="17" spans="1:9" ht="24.75" thickBot="1">
      <c r="A17" s="3040" t="s">
        <v>807</v>
      </c>
      <c r="B17" s="3040"/>
      <c r="C17" s="3040"/>
      <c r="D17" s="3040"/>
      <c r="E17" s="3040"/>
      <c r="F17" s="3040"/>
    </row>
    <row r="18" spans="1:9" ht="21.75" thickBot="1">
      <c r="A18" s="616" t="s">
        <v>795</v>
      </c>
      <c r="B18" s="631" t="s">
        <v>800</v>
      </c>
      <c r="C18" s="619" t="s">
        <v>725</v>
      </c>
      <c r="D18" s="619" t="s">
        <v>726</v>
      </c>
      <c r="E18" s="619" t="s">
        <v>718</v>
      </c>
      <c r="F18" s="620" t="s">
        <v>49</v>
      </c>
    </row>
    <row r="19" spans="1:9" ht="19.5">
      <c r="A19" s="621">
        <v>1</v>
      </c>
      <c r="B19" s="622" t="s">
        <v>798</v>
      </c>
      <c r="C19" s="622">
        <v>7326625</v>
      </c>
      <c r="D19" s="622">
        <v>633279.55599999998</v>
      </c>
      <c r="E19" s="622">
        <v>0</v>
      </c>
      <c r="F19" s="624">
        <f t="shared" ref="F19:F29" si="1">SUM(C19:E19)</f>
        <v>7959904.5559999999</v>
      </c>
      <c r="G19" s="629"/>
      <c r="H19" s="629"/>
      <c r="I19" s="629"/>
    </row>
    <row r="20" spans="1:9" ht="19.5">
      <c r="A20" s="625">
        <v>2</v>
      </c>
      <c r="B20" s="623" t="s">
        <v>771</v>
      </c>
      <c r="C20" s="623">
        <v>224.44800000000001</v>
      </c>
      <c r="D20" s="623">
        <v>723008.16</v>
      </c>
      <c r="E20" s="623">
        <v>0</v>
      </c>
      <c r="F20" s="626">
        <f t="shared" si="1"/>
        <v>723232.60800000001</v>
      </c>
      <c r="G20" s="629"/>
      <c r="H20" s="629"/>
      <c r="I20" s="629"/>
    </row>
    <row r="21" spans="1:9" ht="19.5">
      <c r="A21" s="625">
        <v>3</v>
      </c>
      <c r="B21" s="623" t="s">
        <v>801</v>
      </c>
      <c r="C21" s="623">
        <v>1842479</v>
      </c>
      <c r="D21" s="623">
        <v>0</v>
      </c>
      <c r="E21" s="623">
        <v>41257.167999999998</v>
      </c>
      <c r="F21" s="626">
        <f t="shared" si="1"/>
        <v>1883736.1680000001</v>
      </c>
      <c r="G21" s="629"/>
      <c r="H21" s="629"/>
      <c r="I21" s="629"/>
    </row>
    <row r="22" spans="1:9" ht="19.5">
      <c r="A22" s="625">
        <v>4</v>
      </c>
      <c r="B22" s="623" t="s">
        <v>773</v>
      </c>
      <c r="C22" s="623">
        <v>2103980.480452301</v>
      </c>
      <c r="D22" s="623">
        <v>0</v>
      </c>
      <c r="E22" s="623">
        <v>0</v>
      </c>
      <c r="F22" s="626">
        <f t="shared" si="1"/>
        <v>2103980.480452301</v>
      </c>
      <c r="G22" s="629"/>
      <c r="H22" s="629"/>
      <c r="I22" s="629"/>
    </row>
    <row r="23" spans="1:9" ht="19.5">
      <c r="A23" s="625">
        <v>5</v>
      </c>
      <c r="B23" s="623" t="s">
        <v>802</v>
      </c>
      <c r="C23" s="623">
        <v>1570222.2909860238</v>
      </c>
      <c r="D23" s="623">
        <v>0</v>
      </c>
      <c r="E23" s="623">
        <v>0</v>
      </c>
      <c r="F23" s="626">
        <f t="shared" si="1"/>
        <v>1570222.2909860238</v>
      </c>
      <c r="G23" s="629"/>
      <c r="H23" s="629"/>
      <c r="I23" s="629"/>
    </row>
    <row r="24" spans="1:9" ht="19.5">
      <c r="A24" s="625">
        <v>6</v>
      </c>
      <c r="B24" s="623" t="s">
        <v>803</v>
      </c>
      <c r="C24" s="623">
        <v>1118056.8126735555</v>
      </c>
      <c r="D24" s="623">
        <v>0</v>
      </c>
      <c r="E24" s="623">
        <v>0</v>
      </c>
      <c r="F24" s="626">
        <f t="shared" si="1"/>
        <v>1118056.8126735555</v>
      </c>
      <c r="G24" s="629"/>
      <c r="H24" s="629"/>
      <c r="I24" s="629"/>
    </row>
    <row r="25" spans="1:9" ht="19.5">
      <c r="A25" s="625">
        <v>7</v>
      </c>
      <c r="B25" s="623" t="s">
        <v>804</v>
      </c>
      <c r="C25" s="623">
        <v>1311750.4653866517</v>
      </c>
      <c r="D25" s="623">
        <v>0</v>
      </c>
      <c r="E25" s="623">
        <v>0</v>
      </c>
      <c r="F25" s="626">
        <f t="shared" si="1"/>
        <v>1311750.4653866517</v>
      </c>
      <c r="G25" s="629"/>
      <c r="H25" s="629"/>
      <c r="I25" s="629"/>
    </row>
    <row r="26" spans="1:9" ht="19.5">
      <c r="A26" s="625">
        <v>8</v>
      </c>
      <c r="B26" s="623" t="s">
        <v>777</v>
      </c>
      <c r="C26" s="623">
        <v>850066.12302323605</v>
      </c>
      <c r="D26" s="623">
        <v>0</v>
      </c>
      <c r="E26" s="623">
        <v>0</v>
      </c>
      <c r="F26" s="626">
        <f t="shared" si="1"/>
        <v>850066.12302323605</v>
      </c>
      <c r="G26" s="629"/>
      <c r="H26" s="629"/>
      <c r="I26" s="629"/>
    </row>
    <row r="27" spans="1:9" ht="19.5">
      <c r="A27" s="625">
        <v>9</v>
      </c>
      <c r="B27" s="623" t="s">
        <v>778</v>
      </c>
      <c r="C27" s="623">
        <v>800629.06303563679</v>
      </c>
      <c r="D27" s="623">
        <v>0</v>
      </c>
      <c r="E27" s="623">
        <v>0</v>
      </c>
      <c r="F27" s="626">
        <f t="shared" si="1"/>
        <v>800629.06303563679</v>
      </c>
      <c r="G27" s="629"/>
      <c r="H27" s="629"/>
      <c r="I27" s="629"/>
    </row>
    <row r="28" spans="1:9" ht="19.5">
      <c r="A28" s="625">
        <v>10</v>
      </c>
      <c r="B28" s="623" t="s">
        <v>805</v>
      </c>
      <c r="C28" s="623">
        <v>0</v>
      </c>
      <c r="D28" s="623">
        <v>0</v>
      </c>
      <c r="E28" s="623">
        <v>0</v>
      </c>
      <c r="F28" s="626">
        <f t="shared" si="1"/>
        <v>0</v>
      </c>
      <c r="G28" s="629"/>
      <c r="H28" s="629"/>
      <c r="I28" s="629"/>
    </row>
    <row r="29" spans="1:9" ht="19.5">
      <c r="A29" s="625">
        <v>11</v>
      </c>
      <c r="B29" s="623" t="s">
        <v>806</v>
      </c>
      <c r="C29" s="623">
        <v>288022.34612350608</v>
      </c>
      <c r="D29" s="623">
        <v>0</v>
      </c>
      <c r="E29" s="623">
        <v>0</v>
      </c>
      <c r="F29" s="626">
        <f t="shared" si="1"/>
        <v>288022.34612350608</v>
      </c>
      <c r="G29" s="629"/>
      <c r="H29" s="629"/>
      <c r="I29" s="629"/>
    </row>
    <row r="30" spans="1:9" ht="20.25" thickBot="1">
      <c r="A30" s="3677" t="s">
        <v>49</v>
      </c>
      <c r="B30" s="3678"/>
      <c r="C30" s="627">
        <f>SUM(C19:C29)</f>
        <v>17212056.029680908</v>
      </c>
      <c r="D30" s="627">
        <f t="shared" ref="D30" si="2">SUM(D19:D29)</f>
        <v>1356287.716</v>
      </c>
      <c r="E30" s="627">
        <f>SUM(E19:E29)</f>
        <v>41257.167999999998</v>
      </c>
      <c r="F30" s="628">
        <f>SUM(F19:F29)</f>
        <v>18609600.913680911</v>
      </c>
      <c r="G30" s="629"/>
      <c r="H30" s="629"/>
      <c r="I30" s="629"/>
    </row>
    <row r="31" spans="1:9" ht="18">
      <c r="B31" s="3676" t="s">
        <v>780</v>
      </c>
      <c r="C31" s="3676"/>
      <c r="D31" s="3676"/>
      <c r="E31" s="3676"/>
    </row>
  </sheetData>
  <mergeCells count="6">
    <mergeCell ref="B31:E31"/>
    <mergeCell ref="A1:F1"/>
    <mergeCell ref="A14:B14"/>
    <mergeCell ref="B15:E15"/>
    <mergeCell ref="A17:F17"/>
    <mergeCell ref="A30:B3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  <pageSetUpPr fitToPage="1"/>
  </sheetPr>
  <dimension ref="A1:H18"/>
  <sheetViews>
    <sheetView rightToLeft="1" zoomScale="90" zoomScaleNormal="90" workbookViewId="0">
      <selection sqref="A1:F15"/>
    </sheetView>
  </sheetViews>
  <sheetFormatPr defaultColWidth="9.25" defaultRowHeight="24"/>
  <cols>
    <col min="1" max="1" width="7" style="632" bestFit="1" customWidth="1"/>
    <col min="2" max="2" width="26.625" style="632" customWidth="1"/>
    <col min="3" max="6" width="20.625" style="632" customWidth="1"/>
    <col min="7" max="16384" width="9.25" style="632"/>
  </cols>
  <sheetData>
    <row r="1" spans="1:8" ht="27.75" customHeight="1" thickBot="1">
      <c r="A1" s="3679" t="s">
        <v>808</v>
      </c>
      <c r="B1" s="3679"/>
      <c r="C1" s="3679"/>
      <c r="D1" s="3679"/>
      <c r="E1" s="3679"/>
      <c r="F1" s="3679"/>
    </row>
    <row r="2" spans="1:8" ht="24.75" customHeight="1" thickBot="1">
      <c r="A2" s="633" t="s">
        <v>795</v>
      </c>
      <c r="B2" s="634" t="s">
        <v>800</v>
      </c>
      <c r="C2" s="635" t="s">
        <v>809</v>
      </c>
      <c r="D2" s="636" t="s">
        <v>726</v>
      </c>
      <c r="E2" s="637" t="s">
        <v>718</v>
      </c>
      <c r="F2" s="638" t="s">
        <v>49</v>
      </c>
    </row>
    <row r="3" spans="1:8" ht="24.75" customHeight="1">
      <c r="A3" s="639">
        <v>1</v>
      </c>
      <c r="B3" s="640" t="s">
        <v>798</v>
      </c>
      <c r="C3" s="640">
        <v>17683</v>
      </c>
      <c r="D3" s="640">
        <v>15826</v>
      </c>
      <c r="E3" s="640">
        <v>0</v>
      </c>
      <c r="F3" s="641">
        <f t="shared" ref="F3:F13" si="0">SUM(C3:E3)</f>
        <v>33509</v>
      </c>
      <c r="G3" s="642"/>
      <c r="H3" s="642"/>
    </row>
    <row r="4" spans="1:8" ht="24.75" customHeight="1">
      <c r="A4" s="643">
        <v>2</v>
      </c>
      <c r="B4" s="644" t="s">
        <v>771</v>
      </c>
      <c r="C4" s="644">
        <v>2</v>
      </c>
      <c r="D4" s="644">
        <v>18068</v>
      </c>
      <c r="E4" s="644">
        <v>0</v>
      </c>
      <c r="F4" s="645">
        <f t="shared" si="0"/>
        <v>18070</v>
      </c>
      <c r="G4" s="642"/>
      <c r="H4" s="642"/>
    </row>
    <row r="5" spans="1:8" ht="24.75" customHeight="1">
      <c r="A5" s="643">
        <v>3</v>
      </c>
      <c r="B5" s="644" t="s">
        <v>801</v>
      </c>
      <c r="C5" s="644">
        <v>4441</v>
      </c>
      <c r="D5" s="644">
        <v>0</v>
      </c>
      <c r="E5" s="644">
        <v>104</v>
      </c>
      <c r="F5" s="645">
        <f t="shared" si="0"/>
        <v>4545</v>
      </c>
      <c r="G5" s="642"/>
      <c r="H5" s="642"/>
    </row>
    <row r="6" spans="1:8" ht="24.75" customHeight="1">
      <c r="A6" s="643">
        <v>4</v>
      </c>
      <c r="B6" s="644" t="s">
        <v>773</v>
      </c>
      <c r="C6" s="644">
        <v>3055</v>
      </c>
      <c r="D6" s="644">
        <v>0</v>
      </c>
      <c r="E6" s="644">
        <v>0</v>
      </c>
      <c r="F6" s="645">
        <f t="shared" si="0"/>
        <v>3055</v>
      </c>
      <c r="G6" s="642"/>
      <c r="H6" s="642"/>
    </row>
    <row r="7" spans="1:8" ht="24.75" customHeight="1">
      <c r="A7" s="643">
        <v>5</v>
      </c>
      <c r="B7" s="644" t="s">
        <v>802</v>
      </c>
      <c r="C7" s="644">
        <v>2361</v>
      </c>
      <c r="D7" s="644">
        <v>0</v>
      </c>
      <c r="E7" s="644">
        <v>0</v>
      </c>
      <c r="F7" s="645">
        <f t="shared" si="0"/>
        <v>2361</v>
      </c>
      <c r="G7" s="642"/>
      <c r="H7" s="642"/>
    </row>
    <row r="8" spans="1:8" ht="24.75" customHeight="1">
      <c r="A8" s="643">
        <v>6</v>
      </c>
      <c r="B8" s="644" t="s">
        <v>803</v>
      </c>
      <c r="C8" s="644">
        <v>3281</v>
      </c>
      <c r="D8" s="644">
        <v>0</v>
      </c>
      <c r="E8" s="644">
        <v>0</v>
      </c>
      <c r="F8" s="645">
        <f t="shared" si="0"/>
        <v>3281</v>
      </c>
      <c r="G8" s="642"/>
      <c r="H8" s="642"/>
    </row>
    <row r="9" spans="1:8" ht="24.75" customHeight="1">
      <c r="A9" s="643">
        <v>7</v>
      </c>
      <c r="B9" s="644" t="s">
        <v>804</v>
      </c>
      <c r="C9" s="644">
        <v>2737</v>
      </c>
      <c r="D9" s="644">
        <v>0</v>
      </c>
      <c r="E9" s="644">
        <v>0</v>
      </c>
      <c r="F9" s="645">
        <f t="shared" si="0"/>
        <v>2737</v>
      </c>
      <c r="G9" s="642"/>
      <c r="H9" s="642"/>
    </row>
    <row r="10" spans="1:8" ht="24.75" customHeight="1">
      <c r="A10" s="643">
        <v>8</v>
      </c>
      <c r="B10" s="644" t="s">
        <v>777</v>
      </c>
      <c r="C10" s="644">
        <v>1878</v>
      </c>
      <c r="D10" s="644">
        <v>0</v>
      </c>
      <c r="E10" s="644">
        <v>0</v>
      </c>
      <c r="F10" s="645">
        <f t="shared" si="0"/>
        <v>1878</v>
      </c>
      <c r="G10" s="642"/>
      <c r="H10" s="642"/>
    </row>
    <row r="11" spans="1:8" ht="24.75" customHeight="1">
      <c r="A11" s="643">
        <v>9</v>
      </c>
      <c r="B11" s="644" t="s">
        <v>778</v>
      </c>
      <c r="C11" s="644">
        <v>1983</v>
      </c>
      <c r="D11" s="644">
        <v>0</v>
      </c>
      <c r="E11" s="644">
        <v>0</v>
      </c>
      <c r="F11" s="645">
        <f t="shared" si="0"/>
        <v>1983</v>
      </c>
      <c r="G11" s="642"/>
      <c r="H11" s="642"/>
    </row>
    <row r="12" spans="1:8" ht="24.75" customHeight="1">
      <c r="A12" s="643">
        <v>10</v>
      </c>
      <c r="B12" s="644" t="s">
        <v>805</v>
      </c>
      <c r="C12" s="644">
        <v>0</v>
      </c>
      <c r="D12" s="644">
        <v>0</v>
      </c>
      <c r="E12" s="644">
        <v>0</v>
      </c>
      <c r="F12" s="645">
        <f t="shared" si="0"/>
        <v>0</v>
      </c>
      <c r="G12" s="642"/>
      <c r="H12" s="642"/>
    </row>
    <row r="13" spans="1:8" ht="24.75" customHeight="1">
      <c r="A13" s="643">
        <v>11</v>
      </c>
      <c r="B13" s="644" t="s">
        <v>806</v>
      </c>
      <c r="C13" s="644">
        <v>757</v>
      </c>
      <c r="D13" s="644">
        <v>0</v>
      </c>
      <c r="E13" s="644">
        <v>0</v>
      </c>
      <c r="F13" s="645">
        <f t="shared" si="0"/>
        <v>757</v>
      </c>
      <c r="G13" s="642"/>
      <c r="H13" s="642"/>
    </row>
    <row r="14" spans="1:8" ht="24.75" thickBot="1">
      <c r="A14" s="3680" t="s">
        <v>49</v>
      </c>
      <c r="B14" s="3681"/>
      <c r="C14" s="646">
        <f>SUM(C3:C13)</f>
        <v>38178</v>
      </c>
      <c r="D14" s="646">
        <f>SUM(D3:D13)</f>
        <v>33894</v>
      </c>
      <c r="E14" s="646">
        <f>SUM(E3:E13)</f>
        <v>104</v>
      </c>
      <c r="F14" s="647">
        <f>SUM(F3:F13)</f>
        <v>72176</v>
      </c>
      <c r="G14" s="642"/>
    </row>
    <row r="15" spans="1:8" ht="18" customHeight="1">
      <c r="A15" s="3586" t="s">
        <v>780</v>
      </c>
      <c r="B15" s="3586"/>
      <c r="C15" s="3586"/>
      <c r="D15" s="3586"/>
      <c r="E15" s="3586"/>
    </row>
    <row r="18" spans="6:6">
      <c r="F18" s="642"/>
    </row>
  </sheetData>
  <mergeCells count="3">
    <mergeCell ref="A1:F1"/>
    <mergeCell ref="A14:B14"/>
    <mergeCell ref="A15:E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</sheetPr>
  <dimension ref="A1:G15"/>
  <sheetViews>
    <sheetView rightToLeft="1" workbookViewId="0">
      <selection sqref="A1:G15"/>
    </sheetView>
  </sheetViews>
  <sheetFormatPr defaultColWidth="9.125" defaultRowHeight="18"/>
  <cols>
    <col min="1" max="1" width="6" style="214" customWidth="1"/>
    <col min="2" max="2" width="18.125" style="214" bestFit="1" customWidth="1"/>
    <col min="3" max="3" width="16.625" style="214" bestFit="1" customWidth="1"/>
    <col min="4" max="4" width="18.625" style="214" bestFit="1" customWidth="1"/>
    <col min="5" max="5" width="20.25" style="214" bestFit="1" customWidth="1"/>
    <col min="6" max="6" width="17.875" style="214" bestFit="1" customWidth="1"/>
    <col min="7" max="7" width="9.625" style="214" customWidth="1"/>
    <col min="8" max="16384" width="9.125" style="214"/>
  </cols>
  <sheetData>
    <row r="1" spans="1:7" ht="20.25" thickBot="1">
      <c r="A1" s="3682" t="s">
        <v>1124</v>
      </c>
      <c r="B1" s="3682"/>
      <c r="C1" s="3682"/>
      <c r="D1" s="3682"/>
      <c r="E1" s="3682"/>
      <c r="F1" s="3682"/>
      <c r="G1" s="3682"/>
    </row>
    <row r="2" spans="1:7" ht="20.25" thickBot="1">
      <c r="A2" s="1108" t="s">
        <v>339</v>
      </c>
      <c r="B2" s="1104" t="s">
        <v>1123</v>
      </c>
      <c r="C2" s="1107" t="s">
        <v>1122</v>
      </c>
      <c r="D2" s="1106" t="s">
        <v>1121</v>
      </c>
      <c r="E2" s="1106" t="s">
        <v>1120</v>
      </c>
      <c r="F2" s="1105" t="s">
        <v>1119</v>
      </c>
      <c r="G2" s="1104" t="s">
        <v>49</v>
      </c>
    </row>
    <row r="3" spans="1:7" ht="19.5">
      <c r="A3" s="1103">
        <v>1</v>
      </c>
      <c r="B3" s="1102" t="s">
        <v>770</v>
      </c>
      <c r="C3" s="1101">
        <v>513</v>
      </c>
      <c r="D3" s="1100">
        <v>190</v>
      </c>
      <c r="E3" s="1100">
        <f>109+56</f>
        <v>165</v>
      </c>
      <c r="F3" s="1099">
        <v>238</v>
      </c>
      <c r="G3" s="1098">
        <f t="shared" ref="G3:G14" si="0">SUM(C3:F3)</f>
        <v>1106</v>
      </c>
    </row>
    <row r="4" spans="1:7" ht="19.5">
      <c r="A4" s="1097">
        <v>2</v>
      </c>
      <c r="B4" s="1096" t="s">
        <v>1118</v>
      </c>
      <c r="C4" s="1095">
        <v>106</v>
      </c>
      <c r="D4" s="1094"/>
      <c r="E4" s="1094"/>
      <c r="F4" s="1093">
        <f>124-106</f>
        <v>18</v>
      </c>
      <c r="G4" s="1092">
        <f t="shared" si="0"/>
        <v>124</v>
      </c>
    </row>
    <row r="5" spans="1:7" ht="19.5">
      <c r="A5" s="1097">
        <v>3</v>
      </c>
      <c r="B5" s="1096" t="s">
        <v>1117</v>
      </c>
      <c r="C5" s="1095">
        <v>120</v>
      </c>
      <c r="D5" s="1094">
        <v>10</v>
      </c>
      <c r="E5" s="1094"/>
      <c r="F5" s="1093">
        <v>5</v>
      </c>
      <c r="G5" s="1092">
        <f t="shared" si="0"/>
        <v>135</v>
      </c>
    </row>
    <row r="6" spans="1:7" ht="19.5">
      <c r="A6" s="1097">
        <v>4</v>
      </c>
      <c r="B6" s="1096" t="s">
        <v>1116</v>
      </c>
      <c r="C6" s="1095">
        <v>111</v>
      </c>
      <c r="D6" s="1094">
        <v>11</v>
      </c>
      <c r="E6" s="1094"/>
      <c r="F6" s="1093">
        <f>135-111-11</f>
        <v>13</v>
      </c>
      <c r="G6" s="1092">
        <f t="shared" si="0"/>
        <v>135</v>
      </c>
    </row>
    <row r="7" spans="1:7" ht="19.5">
      <c r="A7" s="1097">
        <v>5</v>
      </c>
      <c r="B7" s="1096" t="s">
        <v>1115</v>
      </c>
      <c r="C7" s="1095">
        <v>95</v>
      </c>
      <c r="D7" s="1094">
        <v>3</v>
      </c>
      <c r="E7" s="1094"/>
      <c r="F7" s="1093">
        <f>107-98</f>
        <v>9</v>
      </c>
      <c r="G7" s="1092">
        <f t="shared" si="0"/>
        <v>107</v>
      </c>
    </row>
    <row r="8" spans="1:7" ht="19.5">
      <c r="A8" s="1097">
        <v>6</v>
      </c>
      <c r="B8" s="1096" t="s">
        <v>774</v>
      </c>
      <c r="C8" s="1095">
        <v>87</v>
      </c>
      <c r="D8" s="1094"/>
      <c r="E8" s="1094"/>
      <c r="F8" s="1093">
        <f>103-87</f>
        <v>16</v>
      </c>
      <c r="G8" s="1092">
        <f t="shared" si="0"/>
        <v>103</v>
      </c>
    </row>
    <row r="9" spans="1:7" ht="19.5">
      <c r="A9" s="1097">
        <v>7</v>
      </c>
      <c r="B9" s="1096" t="s">
        <v>775</v>
      </c>
      <c r="C9" s="1095">
        <v>73</v>
      </c>
      <c r="D9" s="1094">
        <v>19</v>
      </c>
      <c r="E9" s="1094"/>
      <c r="F9" s="1093">
        <f>98-19-73</f>
        <v>6</v>
      </c>
      <c r="G9" s="1092">
        <f t="shared" si="0"/>
        <v>98</v>
      </c>
    </row>
    <row r="10" spans="1:7" ht="19.5">
      <c r="A10" s="1097">
        <v>8</v>
      </c>
      <c r="B10" s="482" t="s">
        <v>1114</v>
      </c>
      <c r="C10" s="1095">
        <v>33</v>
      </c>
      <c r="D10" s="1094">
        <v>4</v>
      </c>
      <c r="E10" s="1094">
        <v>88</v>
      </c>
      <c r="F10" s="1093">
        <v>0</v>
      </c>
      <c r="G10" s="1092">
        <f t="shared" si="0"/>
        <v>125</v>
      </c>
    </row>
    <row r="11" spans="1:7" ht="19.5">
      <c r="A11" s="1097">
        <v>9</v>
      </c>
      <c r="B11" s="1096" t="s">
        <v>778</v>
      </c>
      <c r="C11" s="1095">
        <v>54</v>
      </c>
      <c r="D11" s="1094"/>
      <c r="E11" s="1094"/>
      <c r="F11" s="1093">
        <v>10</v>
      </c>
      <c r="G11" s="1092">
        <f t="shared" si="0"/>
        <v>64</v>
      </c>
    </row>
    <row r="12" spans="1:7" ht="19.5">
      <c r="A12" s="1097">
        <v>10</v>
      </c>
      <c r="B12" s="1096" t="s">
        <v>804</v>
      </c>
      <c r="C12" s="1095">
        <v>94</v>
      </c>
      <c r="D12" s="1094"/>
      <c r="E12" s="1094"/>
      <c r="F12" s="1093"/>
      <c r="G12" s="1092">
        <f t="shared" si="0"/>
        <v>94</v>
      </c>
    </row>
    <row r="13" spans="1:7" ht="20.25" thickBot="1">
      <c r="A13" s="1091">
        <v>11</v>
      </c>
      <c r="B13" s="1090" t="s">
        <v>1113</v>
      </c>
      <c r="C13" s="1089">
        <v>72</v>
      </c>
      <c r="D13" s="1088"/>
      <c r="E13" s="1088"/>
      <c r="F13" s="1087">
        <v>2</v>
      </c>
      <c r="G13" s="1086">
        <f t="shared" si="0"/>
        <v>74</v>
      </c>
    </row>
    <row r="14" spans="1:7" ht="20.25" thickBot="1">
      <c r="A14" s="1091">
        <v>12</v>
      </c>
      <c r="B14" s="1090" t="s">
        <v>1112</v>
      </c>
      <c r="C14" s="1089"/>
      <c r="D14" s="1088"/>
      <c r="E14" s="1088"/>
      <c r="F14" s="1087">
        <v>32</v>
      </c>
      <c r="G14" s="1086">
        <f t="shared" si="0"/>
        <v>32</v>
      </c>
    </row>
    <row r="15" spans="1:7" ht="22.5" customHeight="1" thickBot="1">
      <c r="A15" s="3683" t="s">
        <v>281</v>
      </c>
      <c r="B15" s="3684"/>
      <c r="C15" s="1085">
        <f>SUM(C3:C14)</f>
        <v>1358</v>
      </c>
      <c r="D15" s="1085">
        <f t="shared" ref="D15:F15" si="1">SUM(D3:D14)</f>
        <v>237</v>
      </c>
      <c r="E15" s="1085">
        <f t="shared" si="1"/>
        <v>253</v>
      </c>
      <c r="F15" s="1085">
        <f t="shared" si="1"/>
        <v>349</v>
      </c>
      <c r="G15" s="1084">
        <f>SUM(G3:G14)</f>
        <v>2197</v>
      </c>
    </row>
  </sheetData>
  <mergeCells count="2">
    <mergeCell ref="A1:G1"/>
    <mergeCell ref="A15:B15"/>
  </mergeCells>
  <printOptions horizontalCentered="1" verticalCentered="1"/>
  <pageMargins left="0.25" right="0.25" top="0.75" bottom="0.75" header="0.3" footer="0.3"/>
  <pageSetup paperSize="9" scale="85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</sheetPr>
  <dimension ref="A1:D32"/>
  <sheetViews>
    <sheetView rightToLeft="1" topLeftCell="A15" workbookViewId="0">
      <selection sqref="A1:D32"/>
    </sheetView>
  </sheetViews>
  <sheetFormatPr defaultColWidth="8" defaultRowHeight="14.25"/>
  <cols>
    <col min="1" max="1" width="15.125" style="1109" customWidth="1"/>
    <col min="2" max="2" width="12.75" style="1109" customWidth="1"/>
    <col min="3" max="3" width="13.375" style="1109" customWidth="1"/>
    <col min="4" max="4" width="30.125" style="1109" customWidth="1"/>
    <col min="5" max="16384" width="8" style="1109"/>
  </cols>
  <sheetData>
    <row r="1" spans="1:4" ht="21.75" thickBot="1">
      <c r="A1" s="3685" t="s">
        <v>1148</v>
      </c>
      <c r="B1" s="3685"/>
      <c r="C1" s="3685"/>
      <c r="D1" s="3685"/>
    </row>
    <row r="2" spans="1:4" ht="21.75" thickBot="1">
      <c r="A2" s="1121" t="s">
        <v>1147</v>
      </c>
      <c r="B2" s="1120" t="s">
        <v>1146</v>
      </c>
      <c r="C2" s="1119" t="s">
        <v>1145</v>
      </c>
      <c r="D2" s="1118" t="s">
        <v>1144</v>
      </c>
    </row>
    <row r="3" spans="1:4" ht="20.25" customHeight="1">
      <c r="A3" s="3686" t="s">
        <v>1133</v>
      </c>
      <c r="B3" s="3688" t="s">
        <v>946</v>
      </c>
      <c r="C3" s="3690">
        <v>48</v>
      </c>
      <c r="D3" s="1117" t="s">
        <v>1138</v>
      </c>
    </row>
    <row r="4" spans="1:4" ht="20.25" customHeight="1">
      <c r="A4" s="3687"/>
      <c r="B4" s="3689"/>
      <c r="C4" s="3691"/>
      <c r="D4" s="1114"/>
    </row>
    <row r="5" spans="1:4" ht="20.25" customHeight="1">
      <c r="A5" s="3687" t="s">
        <v>1143</v>
      </c>
      <c r="B5" s="3689" t="s">
        <v>946</v>
      </c>
      <c r="C5" s="3691">
        <v>14</v>
      </c>
      <c r="D5" s="1110" t="s">
        <v>1138</v>
      </c>
    </row>
    <row r="6" spans="1:4" ht="20.25" customHeight="1">
      <c r="A6" s="3687"/>
      <c r="B6" s="3689"/>
      <c r="C6" s="3691"/>
      <c r="D6" s="1114"/>
    </row>
    <row r="7" spans="1:4" ht="20.25" customHeight="1">
      <c r="A7" s="3687" t="s">
        <v>1142</v>
      </c>
      <c r="B7" s="3689" t="s">
        <v>946</v>
      </c>
      <c r="C7" s="3691">
        <v>12</v>
      </c>
      <c r="D7" s="3692" t="s">
        <v>1125</v>
      </c>
    </row>
    <row r="8" spans="1:4" ht="20.25" customHeight="1">
      <c r="A8" s="3687"/>
      <c r="B8" s="3689"/>
      <c r="C8" s="3691"/>
      <c r="D8" s="3693"/>
    </row>
    <row r="9" spans="1:4" ht="20.25" customHeight="1">
      <c r="A9" s="3687" t="s">
        <v>1141</v>
      </c>
      <c r="B9" s="3689" t="s">
        <v>946</v>
      </c>
      <c r="C9" s="3691">
        <v>25</v>
      </c>
      <c r="D9" s="1116" t="s">
        <v>1138</v>
      </c>
    </row>
    <row r="10" spans="1:4" ht="20.25" customHeight="1">
      <c r="A10" s="3687"/>
      <c r="B10" s="3689"/>
      <c r="C10" s="3691"/>
      <c r="D10" s="1114"/>
    </row>
    <row r="11" spans="1:4" ht="20.25" customHeight="1">
      <c r="A11" s="3687" t="s">
        <v>1137</v>
      </c>
      <c r="B11" s="3689" t="s">
        <v>946</v>
      </c>
      <c r="C11" s="3694">
        <v>2</v>
      </c>
      <c r="D11" s="1116" t="s">
        <v>1138</v>
      </c>
    </row>
    <row r="12" spans="1:4" ht="20.25" customHeight="1">
      <c r="A12" s="3687"/>
      <c r="B12" s="3689"/>
      <c r="C12" s="3695"/>
      <c r="D12" s="1114"/>
    </row>
    <row r="13" spans="1:4" ht="20.25" customHeight="1">
      <c r="A13" s="3687" t="s">
        <v>1140</v>
      </c>
      <c r="B13" s="3689" t="s">
        <v>946</v>
      </c>
      <c r="C13" s="3691">
        <v>21</v>
      </c>
      <c r="D13" s="1113" t="s">
        <v>1131</v>
      </c>
    </row>
    <row r="14" spans="1:4" ht="20.25" customHeight="1">
      <c r="A14" s="3687"/>
      <c r="B14" s="3689"/>
      <c r="C14" s="3691"/>
      <c r="D14" s="1112" t="s">
        <v>1136</v>
      </c>
    </row>
    <row r="15" spans="1:4" ht="18.75" customHeight="1">
      <c r="A15" s="3696" t="s">
        <v>1139</v>
      </c>
      <c r="B15" s="3689" t="s">
        <v>946</v>
      </c>
      <c r="C15" s="3694">
        <v>1</v>
      </c>
      <c r="D15" s="1116" t="s">
        <v>1138</v>
      </c>
    </row>
    <row r="16" spans="1:4" ht="20.25" customHeight="1">
      <c r="A16" s="3697"/>
      <c r="B16" s="3689"/>
      <c r="C16" s="3695"/>
      <c r="D16" s="1115"/>
    </row>
    <row r="17" spans="1:4" ht="20.25" customHeight="1">
      <c r="A17" s="3687" t="s">
        <v>1137</v>
      </c>
      <c r="B17" s="3689" t="s">
        <v>946</v>
      </c>
      <c r="C17" s="3691">
        <v>10</v>
      </c>
      <c r="D17" s="1113" t="s">
        <v>1131</v>
      </c>
    </row>
    <row r="18" spans="1:4" ht="20.25" customHeight="1">
      <c r="A18" s="3687"/>
      <c r="B18" s="3689"/>
      <c r="C18" s="3691"/>
      <c r="D18" s="1112" t="s">
        <v>1136</v>
      </c>
    </row>
    <row r="19" spans="1:4" ht="20.25" customHeight="1">
      <c r="A19" s="3696" t="s">
        <v>1135</v>
      </c>
      <c r="B19" s="3689" t="s">
        <v>946</v>
      </c>
      <c r="C19" s="3691">
        <v>3</v>
      </c>
      <c r="D19" s="3699" t="s">
        <v>1125</v>
      </c>
    </row>
    <row r="20" spans="1:4" ht="20.25" customHeight="1">
      <c r="A20" s="3697"/>
      <c r="B20" s="3698"/>
      <c r="C20" s="3694"/>
      <c r="D20" s="3700"/>
    </row>
    <row r="21" spans="1:4" ht="20.25" customHeight="1">
      <c r="A21" s="3696" t="s">
        <v>1134</v>
      </c>
      <c r="B21" s="3689" t="s">
        <v>946</v>
      </c>
      <c r="C21" s="3694">
        <v>42</v>
      </c>
      <c r="D21" s="3699" t="s">
        <v>1125</v>
      </c>
    </row>
    <row r="22" spans="1:4" ht="20.25" customHeight="1" thickBot="1">
      <c r="A22" s="3697"/>
      <c r="B22" s="3698"/>
      <c r="C22" s="3695"/>
      <c r="D22" s="3700"/>
    </row>
    <row r="23" spans="1:4" ht="20.25" customHeight="1">
      <c r="A23" s="3686" t="s">
        <v>1133</v>
      </c>
      <c r="B23" s="3689" t="s">
        <v>946</v>
      </c>
      <c r="C23" s="3691">
        <v>4</v>
      </c>
      <c r="D23" s="1111" t="s">
        <v>1128</v>
      </c>
    </row>
    <row r="24" spans="1:4" ht="20.25" customHeight="1">
      <c r="A24" s="3687"/>
      <c r="B24" s="3689"/>
      <c r="C24" s="3691"/>
      <c r="D24" s="1114" t="s">
        <v>1127</v>
      </c>
    </row>
    <row r="25" spans="1:4" ht="15" customHeight="1">
      <c r="A25" s="3687" t="s">
        <v>1132</v>
      </c>
      <c r="B25" s="3689" t="s">
        <v>946</v>
      </c>
      <c r="C25" s="3691">
        <v>1</v>
      </c>
      <c r="D25" s="1113" t="s">
        <v>1131</v>
      </c>
    </row>
    <row r="26" spans="1:4" ht="15.75" customHeight="1">
      <c r="A26" s="3687"/>
      <c r="B26" s="3689"/>
      <c r="C26" s="3691"/>
      <c r="D26" s="1112" t="s">
        <v>1130</v>
      </c>
    </row>
    <row r="27" spans="1:4" ht="21">
      <c r="A27" s="3696" t="s">
        <v>1129</v>
      </c>
      <c r="B27" s="3689" t="s">
        <v>946</v>
      </c>
      <c r="C27" s="3691">
        <v>2</v>
      </c>
      <c r="D27" s="1111" t="s">
        <v>1128</v>
      </c>
    </row>
    <row r="28" spans="1:4" ht="15.75">
      <c r="A28" s="3709"/>
      <c r="B28" s="3698"/>
      <c r="C28" s="3694"/>
      <c r="D28" s="1110" t="s">
        <v>1127</v>
      </c>
    </row>
    <row r="29" spans="1:4" ht="15" customHeight="1">
      <c r="A29" s="3710" t="s">
        <v>1126</v>
      </c>
      <c r="B29" s="3689" t="s">
        <v>946</v>
      </c>
      <c r="C29" s="3691">
        <v>12</v>
      </c>
      <c r="D29" s="3699" t="s">
        <v>1125</v>
      </c>
    </row>
    <row r="30" spans="1:4" ht="15.75" customHeight="1" thickBot="1">
      <c r="A30" s="3711"/>
      <c r="B30" s="3698"/>
      <c r="C30" s="3712"/>
      <c r="D30" s="3700"/>
    </row>
    <row r="31" spans="1:4">
      <c r="A31" s="3701" t="s">
        <v>845</v>
      </c>
      <c r="B31" s="3702"/>
      <c r="C31" s="3705">
        <f>SUM(C3:C30)</f>
        <v>197</v>
      </c>
      <c r="D31" s="3706"/>
    </row>
    <row r="32" spans="1:4" ht="15" thickBot="1">
      <c r="A32" s="3703"/>
      <c r="B32" s="3704"/>
      <c r="C32" s="3707"/>
      <c r="D32" s="3708"/>
    </row>
  </sheetData>
  <mergeCells count="49">
    <mergeCell ref="D29:D30"/>
    <mergeCell ref="A31:B32"/>
    <mergeCell ref="C31:D32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D7:D8"/>
    <mergeCell ref="A9:A10"/>
    <mergeCell ref="B9:B10"/>
    <mergeCell ref="C9:C10"/>
    <mergeCell ref="A1:D1"/>
    <mergeCell ref="A3:A4"/>
    <mergeCell ref="B3:B4"/>
    <mergeCell ref="C3:C4"/>
    <mergeCell ref="A5:A6"/>
    <mergeCell ref="B5:B6"/>
    <mergeCell ref="C5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</sheetPr>
  <dimension ref="A1:AH70"/>
  <sheetViews>
    <sheetView rightToLeft="1" zoomScale="60" zoomScaleNormal="60" workbookViewId="0">
      <selection sqref="A1:Q50"/>
    </sheetView>
  </sheetViews>
  <sheetFormatPr defaultColWidth="9.125" defaultRowHeight="22.5"/>
  <cols>
    <col min="1" max="1" width="5.75" style="1123" customWidth="1"/>
    <col min="2" max="2" width="37" style="1123" customWidth="1"/>
    <col min="3" max="17" width="12.25" style="1123" customWidth="1"/>
    <col min="18" max="18" width="9.125" style="1122"/>
    <col min="19" max="19" width="31.875" style="1122" bestFit="1" customWidth="1"/>
    <col min="20" max="32" width="9.125" style="1122"/>
    <col min="33" max="33" width="9.125" style="214"/>
    <col min="34" max="16384" width="9.125" style="1122"/>
  </cols>
  <sheetData>
    <row r="1" spans="1:34" ht="53.25" customHeight="1" thickBot="1">
      <c r="A1" s="3713" t="s">
        <v>1249</v>
      </c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L1" s="3713"/>
      <c r="M1" s="3713"/>
      <c r="N1" s="3713"/>
      <c r="O1" s="3713"/>
      <c r="P1" s="3713"/>
      <c r="Q1" s="3713"/>
    </row>
    <row r="2" spans="1:34" s="1147" customFormat="1" ht="111" customHeight="1" thickBot="1">
      <c r="A2" s="1156" t="s">
        <v>795</v>
      </c>
      <c r="B2" s="1155" t="s">
        <v>1248</v>
      </c>
      <c r="C2" s="1154" t="s">
        <v>1247</v>
      </c>
      <c r="D2" s="1153" t="s">
        <v>1246</v>
      </c>
      <c r="E2" s="1153" t="s">
        <v>1245</v>
      </c>
      <c r="F2" s="1153" t="s">
        <v>1244</v>
      </c>
      <c r="G2" s="1153" t="s">
        <v>1243</v>
      </c>
      <c r="H2" s="1153" t="s">
        <v>1242</v>
      </c>
      <c r="I2" s="1153" t="s">
        <v>1241</v>
      </c>
      <c r="J2" s="1153" t="s">
        <v>1240</v>
      </c>
      <c r="K2" s="1153" t="s">
        <v>1239</v>
      </c>
      <c r="L2" s="1153" t="s">
        <v>1036</v>
      </c>
      <c r="M2" s="1153" t="s">
        <v>1238</v>
      </c>
      <c r="N2" s="1153" t="s">
        <v>1038</v>
      </c>
      <c r="O2" s="1153" t="s">
        <v>1043</v>
      </c>
      <c r="P2" s="1153" t="s">
        <v>1237</v>
      </c>
      <c r="Q2" s="1152" t="s">
        <v>281</v>
      </c>
      <c r="S2" s="1151" t="s">
        <v>408</v>
      </c>
      <c r="T2" s="1148" t="s">
        <v>1236</v>
      </c>
      <c r="U2" s="1149" t="s">
        <v>1235</v>
      </c>
      <c r="V2" s="1149" t="s">
        <v>1234</v>
      </c>
      <c r="W2" s="1149" t="s">
        <v>1233</v>
      </c>
      <c r="X2" s="1149" t="s">
        <v>1037</v>
      </c>
      <c r="Y2" s="1149" t="s">
        <v>1040</v>
      </c>
      <c r="Z2" s="1150" t="s">
        <v>1232</v>
      </c>
      <c r="AA2" s="1149" t="s">
        <v>1036</v>
      </c>
      <c r="AB2" s="1149" t="s">
        <v>1039</v>
      </c>
      <c r="AC2" s="1149" t="s">
        <v>1038</v>
      </c>
      <c r="AD2" s="1148" t="s">
        <v>1043</v>
      </c>
      <c r="AE2" s="1148" t="s">
        <v>1231</v>
      </c>
      <c r="AF2" s="1148" t="s">
        <v>1230</v>
      </c>
      <c r="AG2" s="1148" t="s">
        <v>1229</v>
      </c>
      <c r="AH2" s="1147" t="s">
        <v>708</v>
      </c>
    </row>
    <row r="3" spans="1:34" ht="23.25" customHeight="1">
      <c r="A3" s="1146">
        <v>1</v>
      </c>
      <c r="B3" s="1145" t="s">
        <v>1228</v>
      </c>
      <c r="C3" s="1144"/>
      <c r="D3" s="1143"/>
      <c r="E3" s="1143"/>
      <c r="F3" s="1143"/>
      <c r="G3" s="1143"/>
      <c r="H3" s="1143"/>
      <c r="I3" s="1143">
        <v>786</v>
      </c>
      <c r="J3" s="1143"/>
      <c r="K3" s="1143"/>
      <c r="L3" s="1143"/>
      <c r="M3" s="1143"/>
      <c r="N3" s="1143"/>
      <c r="O3" s="1143"/>
      <c r="P3" s="1143"/>
      <c r="Q3" s="1142">
        <f t="shared" ref="Q3:Q30" si="0">SUM(C3:P3)</f>
        <v>786</v>
      </c>
      <c r="R3" s="1129">
        <f>+Q3-AH3</f>
        <v>324</v>
      </c>
      <c r="S3" s="1126" t="s">
        <v>1227</v>
      </c>
      <c r="U3" s="1125"/>
      <c r="V3" s="1125"/>
      <c r="W3" s="1125"/>
      <c r="X3" s="1125"/>
      <c r="Y3" s="1125">
        <v>462</v>
      </c>
      <c r="Z3" s="1125"/>
      <c r="AA3" s="1125">
        <v>0</v>
      </c>
      <c r="AB3" s="1125"/>
      <c r="AC3" s="1125"/>
      <c r="AF3" s="214"/>
      <c r="AH3" s="1122">
        <f>SUM(T3:AG3)</f>
        <v>462</v>
      </c>
    </row>
    <row r="4" spans="1:34" ht="23.25" customHeight="1">
      <c r="A4" s="1141">
        <f t="shared" ref="A4:A48" si="1">+A3+1</f>
        <v>2</v>
      </c>
      <c r="B4" s="1140" t="s">
        <v>1226</v>
      </c>
      <c r="C4" s="1138"/>
      <c r="D4" s="1137"/>
      <c r="E4" s="1137"/>
      <c r="F4" s="1137"/>
      <c r="G4" s="1137">
        <v>75</v>
      </c>
      <c r="H4" s="1137"/>
      <c r="I4" s="1137">
        <v>339</v>
      </c>
      <c r="J4" s="1137"/>
      <c r="K4" s="1137"/>
      <c r="L4" s="1137"/>
      <c r="M4" s="1137"/>
      <c r="N4" s="1137"/>
      <c r="O4" s="1137"/>
      <c r="P4" s="1137"/>
      <c r="Q4" s="1136">
        <f t="shared" si="0"/>
        <v>414</v>
      </c>
      <c r="R4" s="1129">
        <f t="shared" ref="R4:R48" si="2">+Q4-AH4</f>
        <v>200</v>
      </c>
      <c r="S4" s="1126" t="s">
        <v>1225</v>
      </c>
      <c r="U4" s="1125"/>
      <c r="V4" s="1125"/>
      <c r="W4" s="1125">
        <v>30</v>
      </c>
      <c r="X4" s="1125"/>
      <c r="Y4" s="1125">
        <v>184</v>
      </c>
      <c r="Z4" s="1125"/>
      <c r="AA4" s="1125">
        <v>0</v>
      </c>
      <c r="AB4" s="1125"/>
      <c r="AC4" s="1125"/>
      <c r="AF4" s="214"/>
      <c r="AH4" s="1122">
        <f>SUM(T4:AG4)</f>
        <v>214</v>
      </c>
    </row>
    <row r="5" spans="1:34" ht="23.25" customHeight="1">
      <c r="A5" s="1141">
        <f t="shared" si="1"/>
        <v>3</v>
      </c>
      <c r="B5" s="1140" t="s">
        <v>1224</v>
      </c>
      <c r="C5" s="1138"/>
      <c r="D5" s="1137">
        <v>6</v>
      </c>
      <c r="E5" s="1137"/>
      <c r="F5" s="1137"/>
      <c r="G5" s="1137"/>
      <c r="H5" s="1137"/>
      <c r="I5" s="1137"/>
      <c r="J5" s="1137"/>
      <c r="K5" s="1137">
        <v>1</v>
      </c>
      <c r="L5" s="1137"/>
      <c r="M5" s="1137"/>
      <c r="N5" s="1137"/>
      <c r="O5" s="1137"/>
      <c r="P5" s="1137"/>
      <c r="Q5" s="1136">
        <f t="shared" si="0"/>
        <v>7</v>
      </c>
      <c r="R5" s="1129">
        <f t="shared" si="2"/>
        <v>-3</v>
      </c>
      <c r="S5" s="1126" t="s">
        <v>1223</v>
      </c>
      <c r="U5" s="1125">
        <v>6</v>
      </c>
      <c r="V5" s="1125"/>
      <c r="W5" s="1125"/>
      <c r="X5" s="1125"/>
      <c r="Y5" s="1125"/>
      <c r="Z5" s="1125">
        <v>4</v>
      </c>
      <c r="AA5" s="1125">
        <v>0</v>
      </c>
      <c r="AB5" s="1125"/>
      <c r="AC5" s="1125"/>
      <c r="AF5" s="214"/>
      <c r="AH5" s="1122">
        <f>SUM(T5:AG5)</f>
        <v>10</v>
      </c>
    </row>
    <row r="6" spans="1:34" ht="23.25" customHeight="1">
      <c r="A6" s="1141">
        <f t="shared" si="1"/>
        <v>4</v>
      </c>
      <c r="B6" s="1140" t="s">
        <v>1222</v>
      </c>
      <c r="C6" s="1138"/>
      <c r="D6" s="1137"/>
      <c r="E6" s="1137"/>
      <c r="F6" s="1137"/>
      <c r="G6" s="1137"/>
      <c r="H6" s="1137"/>
      <c r="I6" s="1137">
        <v>771</v>
      </c>
      <c r="J6" s="1137"/>
      <c r="K6" s="1137">
        <v>494</v>
      </c>
      <c r="L6" s="1137"/>
      <c r="M6" s="1137">
        <v>155</v>
      </c>
      <c r="N6" s="1137">
        <v>101</v>
      </c>
      <c r="O6" s="1137"/>
      <c r="P6" s="1137"/>
      <c r="Q6" s="1136">
        <f t="shared" si="0"/>
        <v>1521</v>
      </c>
      <c r="R6" s="1129">
        <f t="shared" si="2"/>
        <v>168</v>
      </c>
      <c r="S6" s="1126" t="s">
        <v>1221</v>
      </c>
      <c r="U6" s="1125"/>
      <c r="V6" s="1125"/>
      <c r="W6" s="1125"/>
      <c r="X6" s="1125"/>
      <c r="Y6" s="1125">
        <v>781</v>
      </c>
      <c r="Z6" s="1125">
        <v>494</v>
      </c>
      <c r="AA6" s="1125">
        <v>0</v>
      </c>
      <c r="AB6" s="1125">
        <v>78</v>
      </c>
      <c r="AC6" s="1125"/>
      <c r="AF6" s="214"/>
      <c r="AH6" s="1122">
        <f t="shared" ref="AH6:AH49" si="3">SUM(T6:AG6)</f>
        <v>1353</v>
      </c>
    </row>
    <row r="7" spans="1:34" ht="23.25" customHeight="1">
      <c r="A7" s="1141">
        <f t="shared" si="1"/>
        <v>5</v>
      </c>
      <c r="B7" s="1140" t="s">
        <v>1220</v>
      </c>
      <c r="C7" s="1138"/>
      <c r="D7" s="1137"/>
      <c r="E7" s="1137"/>
      <c r="F7" s="1137"/>
      <c r="G7" s="1137"/>
      <c r="H7" s="1137"/>
      <c r="I7" s="1137"/>
      <c r="J7" s="1137"/>
      <c r="K7" s="1137"/>
      <c r="L7" s="1137"/>
      <c r="M7" s="1137">
        <v>93</v>
      </c>
      <c r="N7" s="1137">
        <v>60</v>
      </c>
      <c r="O7" s="1137"/>
      <c r="P7" s="1137"/>
      <c r="Q7" s="1136">
        <f t="shared" si="0"/>
        <v>153</v>
      </c>
      <c r="R7" s="1129">
        <f t="shared" si="2"/>
        <v>0</v>
      </c>
      <c r="S7" s="1126" t="s">
        <v>1219</v>
      </c>
      <c r="U7" s="1125"/>
      <c r="V7" s="1125"/>
      <c r="W7" s="1125"/>
      <c r="X7" s="1125"/>
      <c r="Y7" s="1125"/>
      <c r="Z7" s="1125"/>
      <c r="AA7" s="1125">
        <v>0</v>
      </c>
      <c r="AB7" s="1125">
        <v>93</v>
      </c>
      <c r="AC7" s="1125">
        <v>60</v>
      </c>
      <c r="AF7" s="214"/>
      <c r="AH7" s="1122">
        <f t="shared" si="3"/>
        <v>153</v>
      </c>
    </row>
    <row r="8" spans="1:34" ht="23.25" customHeight="1">
      <c r="A8" s="1141">
        <f t="shared" si="1"/>
        <v>6</v>
      </c>
      <c r="B8" s="1140" t="s">
        <v>1218</v>
      </c>
      <c r="C8" s="1138"/>
      <c r="D8" s="1137"/>
      <c r="E8" s="1137"/>
      <c r="F8" s="1137"/>
      <c r="G8" s="1137"/>
      <c r="H8" s="1137"/>
      <c r="I8" s="1137"/>
      <c r="J8" s="1137"/>
      <c r="K8" s="1137">
        <v>118</v>
      </c>
      <c r="L8" s="1137"/>
      <c r="M8" s="1137"/>
      <c r="N8" s="1137"/>
      <c r="O8" s="1137"/>
      <c r="P8" s="1137"/>
      <c r="Q8" s="1136">
        <f t="shared" si="0"/>
        <v>118</v>
      </c>
      <c r="R8" s="1129">
        <f t="shared" si="2"/>
        <v>-29</v>
      </c>
      <c r="S8" s="1126" t="s">
        <v>1218</v>
      </c>
      <c r="U8" s="1125"/>
      <c r="V8" s="1125"/>
      <c r="W8" s="1125"/>
      <c r="X8" s="1125"/>
      <c r="Y8" s="1125"/>
      <c r="Z8" s="1125">
        <v>147</v>
      </c>
      <c r="AA8" s="1125">
        <v>0</v>
      </c>
      <c r="AB8" s="1125"/>
      <c r="AC8" s="1125"/>
      <c r="AF8" s="214"/>
      <c r="AH8" s="1122">
        <f t="shared" si="3"/>
        <v>147</v>
      </c>
    </row>
    <row r="9" spans="1:34" ht="23.25" customHeight="1">
      <c r="A9" s="1141">
        <f t="shared" si="1"/>
        <v>7</v>
      </c>
      <c r="B9" s="1140" t="s">
        <v>1217</v>
      </c>
      <c r="C9" s="1138"/>
      <c r="D9" s="1137"/>
      <c r="E9" s="1137"/>
      <c r="F9" s="1137"/>
      <c r="G9" s="1137"/>
      <c r="H9" s="1137"/>
      <c r="I9" s="1137"/>
      <c r="J9" s="1137"/>
      <c r="K9" s="1137"/>
      <c r="L9" s="1137">
        <v>88</v>
      </c>
      <c r="M9" s="1137"/>
      <c r="N9" s="1137"/>
      <c r="O9" s="1137"/>
      <c r="P9" s="1137"/>
      <c r="Q9" s="1136">
        <f t="shared" si="0"/>
        <v>88</v>
      </c>
      <c r="R9" s="1129">
        <f t="shared" si="2"/>
        <v>0</v>
      </c>
      <c r="S9" s="1126" t="s">
        <v>1216</v>
      </c>
      <c r="U9" s="1125"/>
      <c r="V9" s="1125"/>
      <c r="W9" s="1125"/>
      <c r="X9" s="1125"/>
      <c r="Y9" s="1125"/>
      <c r="Z9" s="1125"/>
      <c r="AA9" s="1125">
        <v>88</v>
      </c>
      <c r="AB9" s="1125"/>
      <c r="AC9" s="1125"/>
      <c r="AF9" s="214"/>
      <c r="AH9" s="1122">
        <f t="shared" si="3"/>
        <v>88</v>
      </c>
    </row>
    <row r="10" spans="1:34" ht="23.25" customHeight="1">
      <c r="A10" s="1141">
        <f t="shared" si="1"/>
        <v>8</v>
      </c>
      <c r="B10" s="1140" t="s">
        <v>1215</v>
      </c>
      <c r="C10" s="1138"/>
      <c r="D10" s="1137">
        <v>317</v>
      </c>
      <c r="E10" s="1137"/>
      <c r="F10" s="1137"/>
      <c r="G10" s="1137"/>
      <c r="H10" s="1137"/>
      <c r="I10" s="1137">
        <v>2004</v>
      </c>
      <c r="J10" s="1137"/>
      <c r="K10" s="1137">
        <v>238</v>
      </c>
      <c r="L10" s="1137"/>
      <c r="M10" s="1137"/>
      <c r="N10" s="1137"/>
      <c r="O10" s="1137">
        <v>410</v>
      </c>
      <c r="P10" s="1137"/>
      <c r="Q10" s="1136">
        <f t="shared" si="0"/>
        <v>2969</v>
      </c>
      <c r="R10" s="1129">
        <f t="shared" si="2"/>
        <v>-4</v>
      </c>
      <c r="S10" s="1126" t="s">
        <v>1214</v>
      </c>
      <c r="U10" s="1125">
        <v>317</v>
      </c>
      <c r="V10" s="1125"/>
      <c r="W10" s="1125"/>
      <c r="X10" s="1125"/>
      <c r="Y10" s="1125">
        <v>2007</v>
      </c>
      <c r="Z10" s="1125">
        <v>238</v>
      </c>
      <c r="AA10" s="1125">
        <v>0</v>
      </c>
      <c r="AB10" s="1125">
        <v>0</v>
      </c>
      <c r="AC10" s="1125"/>
      <c r="AD10" s="1122">
        <v>411</v>
      </c>
      <c r="AF10" s="214"/>
      <c r="AH10" s="1122">
        <f t="shared" si="3"/>
        <v>2973</v>
      </c>
    </row>
    <row r="11" spans="1:34" ht="23.25" customHeight="1">
      <c r="A11" s="1141">
        <f t="shared" si="1"/>
        <v>9</v>
      </c>
      <c r="B11" s="1140" t="s">
        <v>1213</v>
      </c>
      <c r="C11" s="1138"/>
      <c r="D11" s="1137"/>
      <c r="E11" s="1137"/>
      <c r="F11" s="1137"/>
      <c r="G11" s="1137"/>
      <c r="H11" s="1137"/>
      <c r="I11" s="1137"/>
      <c r="J11" s="1137"/>
      <c r="K11" s="1137"/>
      <c r="L11" s="1137"/>
      <c r="M11" s="1137">
        <v>50</v>
      </c>
      <c r="N11" s="1137"/>
      <c r="O11" s="1137"/>
      <c r="P11" s="1137"/>
      <c r="Q11" s="1136">
        <f t="shared" si="0"/>
        <v>50</v>
      </c>
      <c r="R11" s="1129">
        <f t="shared" si="2"/>
        <v>0</v>
      </c>
      <c r="S11" s="1126" t="s">
        <v>1213</v>
      </c>
      <c r="U11" s="1125"/>
      <c r="V11" s="1125"/>
      <c r="W11" s="1125"/>
      <c r="X11" s="1125"/>
      <c r="Y11" s="1125"/>
      <c r="Z11" s="1125"/>
      <c r="AA11" s="1125">
        <v>0</v>
      </c>
      <c r="AB11" s="1125">
        <v>50</v>
      </c>
      <c r="AC11" s="1125"/>
      <c r="AF11" s="214"/>
      <c r="AH11" s="1122">
        <f t="shared" si="3"/>
        <v>50</v>
      </c>
    </row>
    <row r="12" spans="1:34" ht="23.25" customHeight="1">
      <c r="A12" s="1141">
        <f t="shared" si="1"/>
        <v>10</v>
      </c>
      <c r="B12" s="1140" t="s">
        <v>1212</v>
      </c>
      <c r="C12" s="1138"/>
      <c r="D12" s="1137"/>
      <c r="E12" s="1137"/>
      <c r="F12" s="1137"/>
      <c r="G12" s="1137">
        <v>546</v>
      </c>
      <c r="H12" s="1137"/>
      <c r="I12" s="1137"/>
      <c r="J12" s="1137"/>
      <c r="K12" s="1137"/>
      <c r="L12" s="1137">
        <v>89</v>
      </c>
      <c r="M12" s="1137"/>
      <c r="N12" s="1137"/>
      <c r="O12" s="1137">
        <v>580</v>
      </c>
      <c r="P12" s="1137"/>
      <c r="Q12" s="1136">
        <f t="shared" si="0"/>
        <v>1215</v>
      </c>
      <c r="R12" s="1129">
        <f t="shared" si="2"/>
        <v>188</v>
      </c>
      <c r="S12" s="1126" t="s">
        <v>1211</v>
      </c>
      <c r="U12" s="1125"/>
      <c r="V12" s="1125"/>
      <c r="W12" s="1125">
        <v>358</v>
      </c>
      <c r="X12" s="1125"/>
      <c r="Y12" s="1125"/>
      <c r="Z12" s="1125"/>
      <c r="AA12" s="1125">
        <v>89</v>
      </c>
      <c r="AB12" s="1125"/>
      <c r="AC12" s="1125"/>
      <c r="AD12" s="1122">
        <v>580</v>
      </c>
      <c r="AF12" s="214"/>
      <c r="AH12" s="1122">
        <f t="shared" si="3"/>
        <v>1027</v>
      </c>
    </row>
    <row r="13" spans="1:34" ht="23.25" customHeight="1">
      <c r="A13" s="1141">
        <f t="shared" si="1"/>
        <v>11</v>
      </c>
      <c r="B13" s="1140" t="s">
        <v>1210</v>
      </c>
      <c r="C13" s="1138"/>
      <c r="D13" s="1137"/>
      <c r="E13" s="1137"/>
      <c r="F13" s="1137"/>
      <c r="G13" s="1137"/>
      <c r="H13" s="1137"/>
      <c r="I13" s="1137">
        <v>200</v>
      </c>
      <c r="J13" s="1137"/>
      <c r="K13" s="1137">
        <v>437</v>
      </c>
      <c r="L13" s="1137">
        <v>134</v>
      </c>
      <c r="M13" s="1137"/>
      <c r="N13" s="1137"/>
      <c r="O13" s="1137"/>
      <c r="P13" s="1137"/>
      <c r="Q13" s="1136">
        <f t="shared" si="0"/>
        <v>771</v>
      </c>
      <c r="R13" s="1129">
        <f t="shared" si="2"/>
        <v>170</v>
      </c>
      <c r="S13" s="1126" t="s">
        <v>1209</v>
      </c>
      <c r="U13" s="1125"/>
      <c r="V13" s="1125"/>
      <c r="W13" s="1125"/>
      <c r="X13" s="1125"/>
      <c r="Y13" s="1125">
        <v>30</v>
      </c>
      <c r="Z13" s="1125">
        <v>437</v>
      </c>
      <c r="AA13" s="1125">
        <v>134</v>
      </c>
      <c r="AB13" s="1125"/>
      <c r="AC13" s="1125"/>
      <c r="AF13" s="214"/>
      <c r="AH13" s="1122">
        <f t="shared" si="3"/>
        <v>601</v>
      </c>
    </row>
    <row r="14" spans="1:34" ht="23.25" customHeight="1">
      <c r="A14" s="1141">
        <f t="shared" si="1"/>
        <v>12</v>
      </c>
      <c r="B14" s="1140" t="s">
        <v>1208</v>
      </c>
      <c r="C14" s="1138"/>
      <c r="D14" s="1137"/>
      <c r="E14" s="1137"/>
      <c r="F14" s="1137"/>
      <c r="G14" s="1137"/>
      <c r="H14" s="1137"/>
      <c r="I14" s="1137"/>
      <c r="J14" s="1137"/>
      <c r="K14" s="1137"/>
      <c r="L14" s="1137">
        <v>48</v>
      </c>
      <c r="M14" s="1137"/>
      <c r="N14" s="1137"/>
      <c r="O14" s="1137"/>
      <c r="P14" s="1137"/>
      <c r="Q14" s="1136">
        <f t="shared" si="0"/>
        <v>48</v>
      </c>
      <c r="R14" s="1129">
        <f t="shared" si="2"/>
        <v>0</v>
      </c>
      <c r="S14" s="1126" t="s">
        <v>1207</v>
      </c>
      <c r="U14" s="1125"/>
      <c r="V14" s="1125"/>
      <c r="W14" s="1125"/>
      <c r="X14" s="1125"/>
      <c r="Y14" s="1125"/>
      <c r="Z14" s="1125"/>
      <c r="AA14" s="1125">
        <v>48</v>
      </c>
      <c r="AB14" s="1125"/>
      <c r="AC14" s="1125"/>
      <c r="AF14" s="214"/>
      <c r="AH14" s="1122">
        <f t="shared" si="3"/>
        <v>48</v>
      </c>
    </row>
    <row r="15" spans="1:34" ht="23.25" customHeight="1">
      <c r="A15" s="1141">
        <f t="shared" si="1"/>
        <v>13</v>
      </c>
      <c r="B15" s="1140" t="s">
        <v>1206</v>
      </c>
      <c r="C15" s="1138"/>
      <c r="D15" s="1137"/>
      <c r="E15" s="1137"/>
      <c r="F15" s="1137">
        <v>80</v>
      </c>
      <c r="G15" s="1137"/>
      <c r="H15" s="1137"/>
      <c r="I15" s="1137"/>
      <c r="J15" s="1137"/>
      <c r="K15" s="1137"/>
      <c r="L15" s="1137"/>
      <c r="M15" s="1137"/>
      <c r="N15" s="1137"/>
      <c r="O15" s="1137"/>
      <c r="P15" s="1137"/>
      <c r="Q15" s="1136">
        <f t="shared" si="0"/>
        <v>80</v>
      </c>
      <c r="R15" s="1129">
        <f t="shared" si="2"/>
        <v>2</v>
      </c>
      <c r="S15" s="1126" t="s">
        <v>1205</v>
      </c>
      <c r="U15" s="1125"/>
      <c r="V15" s="1125"/>
      <c r="W15" s="1125"/>
      <c r="X15" s="1125"/>
      <c r="Y15" s="1125"/>
      <c r="Z15" s="1125"/>
      <c r="AA15" s="1125">
        <v>0</v>
      </c>
      <c r="AB15" s="1125"/>
      <c r="AC15" s="1125"/>
      <c r="AE15" s="1122">
        <v>78</v>
      </c>
      <c r="AF15" s="214"/>
      <c r="AH15" s="1122">
        <f t="shared" si="3"/>
        <v>78</v>
      </c>
    </row>
    <row r="16" spans="1:34" ht="23.25" customHeight="1">
      <c r="A16" s="1141">
        <f t="shared" si="1"/>
        <v>14</v>
      </c>
      <c r="B16" s="1140" t="s">
        <v>1204</v>
      </c>
      <c r="C16" s="1138"/>
      <c r="D16" s="1137"/>
      <c r="E16" s="1137"/>
      <c r="F16" s="1137"/>
      <c r="G16" s="1137"/>
      <c r="H16" s="1137"/>
      <c r="I16" s="1137"/>
      <c r="J16" s="1137"/>
      <c r="K16" s="1137"/>
      <c r="L16" s="1137"/>
      <c r="M16" s="1137">
        <v>600</v>
      </c>
      <c r="N16" s="1137"/>
      <c r="O16" s="1137"/>
      <c r="P16" s="1137"/>
      <c r="Q16" s="1136">
        <f t="shared" si="0"/>
        <v>600</v>
      </c>
      <c r="R16" s="1129">
        <f t="shared" si="2"/>
        <v>0</v>
      </c>
      <c r="S16" s="1126" t="s">
        <v>1203</v>
      </c>
      <c r="U16" s="1125"/>
      <c r="V16" s="1125"/>
      <c r="W16" s="1125"/>
      <c r="X16" s="1125"/>
      <c r="Y16" s="1125"/>
      <c r="Z16" s="1125"/>
      <c r="AA16" s="1125">
        <v>0</v>
      </c>
      <c r="AB16" s="1125">
        <v>600</v>
      </c>
      <c r="AC16" s="1125"/>
      <c r="AF16" s="214"/>
      <c r="AH16" s="1122">
        <f t="shared" si="3"/>
        <v>600</v>
      </c>
    </row>
    <row r="17" spans="1:34" ht="23.25" customHeight="1">
      <c r="A17" s="1141">
        <f t="shared" si="1"/>
        <v>15</v>
      </c>
      <c r="B17" s="1140" t="s">
        <v>1202</v>
      </c>
      <c r="C17" s="1138"/>
      <c r="D17" s="1137">
        <v>446</v>
      </c>
      <c r="E17" s="1137"/>
      <c r="F17" s="1137"/>
      <c r="G17" s="1137"/>
      <c r="H17" s="1137"/>
      <c r="I17" s="1137">
        <v>1156</v>
      </c>
      <c r="J17" s="1137"/>
      <c r="K17" s="1137"/>
      <c r="L17" s="1137"/>
      <c r="M17" s="1137"/>
      <c r="N17" s="1137"/>
      <c r="O17" s="1137"/>
      <c r="P17" s="1137"/>
      <c r="Q17" s="1136">
        <f t="shared" si="0"/>
        <v>1602</v>
      </c>
      <c r="R17" s="1129">
        <f t="shared" si="2"/>
        <v>257</v>
      </c>
      <c r="S17" s="1126" t="s">
        <v>1202</v>
      </c>
      <c r="U17" s="1125">
        <v>249</v>
      </c>
      <c r="V17" s="1125"/>
      <c r="W17" s="1125"/>
      <c r="X17" s="1125"/>
      <c r="Y17" s="1125">
        <v>1096</v>
      </c>
      <c r="Z17" s="1125"/>
      <c r="AA17" s="1125">
        <v>0</v>
      </c>
      <c r="AB17" s="1125"/>
      <c r="AC17" s="1125"/>
      <c r="AF17" s="214"/>
      <c r="AH17" s="1122">
        <f t="shared" si="3"/>
        <v>1345</v>
      </c>
    </row>
    <row r="18" spans="1:34" ht="23.25" customHeight="1">
      <c r="A18" s="1141">
        <f t="shared" si="1"/>
        <v>16</v>
      </c>
      <c r="B18" s="1140" t="s">
        <v>1201</v>
      </c>
      <c r="C18" s="1138"/>
      <c r="D18" s="1137"/>
      <c r="E18" s="1137"/>
      <c r="F18" s="1137"/>
      <c r="G18" s="1137"/>
      <c r="H18" s="1137"/>
      <c r="I18" s="1137"/>
      <c r="J18" s="1137"/>
      <c r="K18" s="1137">
        <v>495</v>
      </c>
      <c r="L18" s="1137"/>
      <c r="M18" s="1137">
        <v>127</v>
      </c>
      <c r="N18" s="1137"/>
      <c r="O18" s="1137"/>
      <c r="P18" s="1137"/>
      <c r="Q18" s="1136">
        <f t="shared" si="0"/>
        <v>622</v>
      </c>
      <c r="R18" s="1129">
        <f t="shared" si="2"/>
        <v>11</v>
      </c>
      <c r="S18" s="1126" t="s">
        <v>1200</v>
      </c>
      <c r="U18" s="1125"/>
      <c r="V18" s="1125"/>
      <c r="W18" s="1125"/>
      <c r="X18" s="1125"/>
      <c r="Y18" s="1125"/>
      <c r="Z18" s="1125">
        <v>484</v>
      </c>
      <c r="AA18" s="1125">
        <v>0</v>
      </c>
      <c r="AB18" s="1125">
        <v>127</v>
      </c>
      <c r="AC18" s="1125"/>
      <c r="AF18" s="214"/>
      <c r="AH18" s="1122">
        <f t="shared" si="3"/>
        <v>611</v>
      </c>
    </row>
    <row r="19" spans="1:34" ht="23.25" customHeight="1">
      <c r="A19" s="1141">
        <f t="shared" si="1"/>
        <v>17</v>
      </c>
      <c r="B19" s="1140" t="s">
        <v>1199</v>
      </c>
      <c r="C19" s="1138"/>
      <c r="D19" s="1137"/>
      <c r="E19" s="1137"/>
      <c r="F19" s="1137"/>
      <c r="G19" s="1137"/>
      <c r="H19" s="1137"/>
      <c r="I19" s="1137">
        <v>40</v>
      </c>
      <c r="J19" s="1137"/>
      <c r="K19" s="1137"/>
      <c r="L19" s="1137"/>
      <c r="M19" s="1137"/>
      <c r="N19" s="1137"/>
      <c r="O19" s="1137"/>
      <c r="P19" s="1137"/>
      <c r="Q19" s="1136">
        <f t="shared" si="0"/>
        <v>40</v>
      </c>
      <c r="R19" s="1129">
        <f t="shared" si="2"/>
        <v>-10</v>
      </c>
      <c r="S19" s="1126" t="s">
        <v>1199</v>
      </c>
      <c r="U19" s="1125"/>
      <c r="V19" s="1125"/>
      <c r="W19" s="1125"/>
      <c r="X19" s="1125"/>
      <c r="Y19" s="1125">
        <v>50</v>
      </c>
      <c r="Z19" s="1125"/>
      <c r="AA19" s="1125">
        <v>0</v>
      </c>
      <c r="AB19" s="1125"/>
      <c r="AC19" s="1125"/>
      <c r="AF19" s="214"/>
      <c r="AH19" s="1122">
        <f t="shared" si="3"/>
        <v>50</v>
      </c>
    </row>
    <row r="20" spans="1:34" ht="23.25" customHeight="1">
      <c r="A20" s="1141">
        <f t="shared" si="1"/>
        <v>18</v>
      </c>
      <c r="B20" s="1140" t="s">
        <v>1198</v>
      </c>
      <c r="C20" s="1138"/>
      <c r="D20" s="1137"/>
      <c r="E20" s="1137"/>
      <c r="F20" s="1137"/>
      <c r="G20" s="1137"/>
      <c r="H20" s="1137"/>
      <c r="I20" s="1137">
        <v>550</v>
      </c>
      <c r="J20" s="1137"/>
      <c r="K20" s="1137"/>
      <c r="L20" s="1137"/>
      <c r="M20" s="1137"/>
      <c r="N20" s="1137"/>
      <c r="O20" s="1137"/>
      <c r="P20" s="1137"/>
      <c r="Q20" s="1136">
        <f t="shared" si="0"/>
        <v>550</v>
      </c>
      <c r="R20" s="1129">
        <f t="shared" si="2"/>
        <v>546</v>
      </c>
      <c r="S20" s="1126" t="s">
        <v>1197</v>
      </c>
      <c r="U20" s="1125">
        <v>4</v>
      </c>
      <c r="V20" s="1125"/>
      <c r="W20" s="1125"/>
      <c r="X20" s="1125"/>
      <c r="Y20" s="1125"/>
      <c r="Z20" s="1125"/>
      <c r="AA20" s="1125">
        <v>0</v>
      </c>
      <c r="AB20" s="1125"/>
      <c r="AC20" s="1125"/>
      <c r="AF20" s="214"/>
      <c r="AH20" s="1122">
        <f t="shared" si="3"/>
        <v>4</v>
      </c>
    </row>
    <row r="21" spans="1:34" ht="23.25" customHeight="1">
      <c r="A21" s="1141">
        <f t="shared" si="1"/>
        <v>19</v>
      </c>
      <c r="B21" s="1140" t="s">
        <v>1196</v>
      </c>
      <c r="C21" s="1138"/>
      <c r="D21" s="1137"/>
      <c r="E21" s="1137"/>
      <c r="F21" s="1137"/>
      <c r="G21" s="1137"/>
      <c r="H21" s="1137"/>
      <c r="I21" s="1137"/>
      <c r="J21" s="1137"/>
      <c r="K21" s="1137"/>
      <c r="L21" s="1137">
        <v>1200</v>
      </c>
      <c r="M21" s="1137"/>
      <c r="N21" s="1137"/>
      <c r="O21" s="1137"/>
      <c r="P21" s="1137"/>
      <c r="Q21" s="1136">
        <f t="shared" si="0"/>
        <v>1200</v>
      </c>
      <c r="R21" s="1129">
        <f t="shared" si="2"/>
        <v>0</v>
      </c>
      <c r="S21" s="1126" t="s">
        <v>1195</v>
      </c>
      <c r="U21" s="1125"/>
      <c r="V21" s="1125"/>
      <c r="W21" s="1125"/>
      <c r="X21" s="1125"/>
      <c r="Y21" s="1125"/>
      <c r="Z21" s="1125"/>
      <c r="AA21" s="1125">
        <v>1200</v>
      </c>
      <c r="AB21" s="1125"/>
      <c r="AC21" s="1125"/>
      <c r="AF21" s="214"/>
      <c r="AH21" s="1122">
        <f t="shared" si="3"/>
        <v>1200</v>
      </c>
    </row>
    <row r="22" spans="1:34" ht="23.25" customHeight="1">
      <c r="A22" s="1141">
        <f t="shared" si="1"/>
        <v>20</v>
      </c>
      <c r="B22" s="1140" t="s">
        <v>1194</v>
      </c>
      <c r="C22" s="1138"/>
      <c r="D22" s="1137"/>
      <c r="E22" s="1137"/>
      <c r="F22" s="1137">
        <v>53</v>
      </c>
      <c r="G22" s="1137">
        <v>898</v>
      </c>
      <c r="H22" s="1137"/>
      <c r="I22" s="1137"/>
      <c r="J22" s="1137"/>
      <c r="K22" s="1137"/>
      <c r="L22" s="1137"/>
      <c r="M22" s="1137">
        <v>1</v>
      </c>
      <c r="N22" s="1137">
        <v>1</v>
      </c>
      <c r="O22" s="1137"/>
      <c r="P22" s="1137"/>
      <c r="Q22" s="1136">
        <f t="shared" si="0"/>
        <v>953</v>
      </c>
      <c r="R22" s="1129">
        <f t="shared" si="2"/>
        <v>-169</v>
      </c>
      <c r="S22" s="1126" t="s">
        <v>1194</v>
      </c>
      <c r="U22" s="1125"/>
      <c r="V22" s="1125"/>
      <c r="W22" s="1125">
        <v>889</v>
      </c>
      <c r="X22" s="1125"/>
      <c r="Y22" s="1125"/>
      <c r="Z22" s="1125"/>
      <c r="AA22" s="1125">
        <v>0</v>
      </c>
      <c r="AB22" s="1125">
        <v>79</v>
      </c>
      <c r="AC22" s="1125">
        <v>101</v>
      </c>
      <c r="AE22" s="1122">
        <v>53</v>
      </c>
      <c r="AF22" s="214"/>
      <c r="AH22" s="1122">
        <f t="shared" si="3"/>
        <v>1122</v>
      </c>
    </row>
    <row r="23" spans="1:34" ht="23.25" customHeight="1">
      <c r="A23" s="1141">
        <f t="shared" si="1"/>
        <v>21</v>
      </c>
      <c r="B23" s="1140" t="s">
        <v>1193</v>
      </c>
      <c r="C23" s="1138"/>
      <c r="D23" s="1137"/>
      <c r="E23" s="1137"/>
      <c r="F23" s="1137"/>
      <c r="G23" s="1137"/>
      <c r="H23" s="1137"/>
      <c r="I23" s="1137"/>
      <c r="J23" s="1137">
        <v>1920</v>
      </c>
      <c r="K23" s="1137">
        <v>95</v>
      </c>
      <c r="L23" s="1137"/>
      <c r="M23" s="1137"/>
      <c r="N23" s="1137"/>
      <c r="O23" s="1137"/>
      <c r="P23" s="1137"/>
      <c r="Q23" s="1136">
        <f t="shared" si="0"/>
        <v>2015</v>
      </c>
      <c r="R23" s="1129">
        <f t="shared" si="2"/>
        <v>4</v>
      </c>
      <c r="S23" s="1126" t="s">
        <v>1142</v>
      </c>
      <c r="U23" s="1125"/>
      <c r="V23" s="1125"/>
      <c r="W23" s="1125"/>
      <c r="X23" s="1125"/>
      <c r="Y23" s="1125">
        <v>1916</v>
      </c>
      <c r="Z23" s="1125">
        <v>95</v>
      </c>
      <c r="AA23" s="1125">
        <v>0</v>
      </c>
      <c r="AB23" s="1125"/>
      <c r="AC23" s="1125"/>
      <c r="AF23" s="214"/>
      <c r="AH23" s="1122">
        <f t="shared" si="3"/>
        <v>2011</v>
      </c>
    </row>
    <row r="24" spans="1:34" ht="23.25" customHeight="1">
      <c r="A24" s="1141">
        <f t="shared" si="1"/>
        <v>22</v>
      </c>
      <c r="B24" s="1140" t="s">
        <v>1192</v>
      </c>
      <c r="C24" s="1138"/>
      <c r="D24" s="1137"/>
      <c r="E24" s="1137"/>
      <c r="F24" s="1137"/>
      <c r="G24" s="1137"/>
      <c r="H24" s="1137"/>
      <c r="I24" s="1137">
        <v>1200</v>
      </c>
      <c r="J24" s="1137"/>
      <c r="K24" s="1137">
        <v>201</v>
      </c>
      <c r="L24" s="1137"/>
      <c r="M24" s="1137"/>
      <c r="N24" s="1137"/>
      <c r="O24" s="1137"/>
      <c r="P24" s="1137"/>
      <c r="Q24" s="1136">
        <f t="shared" si="0"/>
        <v>1401</v>
      </c>
      <c r="R24" s="1129">
        <f t="shared" si="2"/>
        <v>2</v>
      </c>
      <c r="S24" s="1126" t="s">
        <v>1191</v>
      </c>
      <c r="U24" s="1125"/>
      <c r="V24" s="1125"/>
      <c r="W24" s="1125"/>
      <c r="X24" s="1125"/>
      <c r="Y24" s="1125">
        <v>1198</v>
      </c>
      <c r="Z24" s="1125">
        <v>201</v>
      </c>
      <c r="AA24" s="1125">
        <v>0</v>
      </c>
      <c r="AB24" s="1125"/>
      <c r="AC24" s="1125"/>
      <c r="AF24" s="214"/>
      <c r="AH24" s="1122">
        <f t="shared" si="3"/>
        <v>1399</v>
      </c>
    </row>
    <row r="25" spans="1:34" ht="23.25" customHeight="1">
      <c r="A25" s="1141">
        <f t="shared" si="1"/>
        <v>23</v>
      </c>
      <c r="B25" s="1140" t="s">
        <v>1190</v>
      </c>
      <c r="C25" s="1138"/>
      <c r="D25" s="1137">
        <v>4</v>
      </c>
      <c r="E25" s="1137"/>
      <c r="F25" s="1137"/>
      <c r="G25" s="1137"/>
      <c r="H25" s="1137"/>
      <c r="I25" s="1137"/>
      <c r="J25" s="1137"/>
      <c r="K25" s="1137">
        <v>2</v>
      </c>
      <c r="L25" s="1137"/>
      <c r="M25" s="1137">
        <v>2</v>
      </c>
      <c r="N25" s="1137"/>
      <c r="O25" s="1137"/>
      <c r="P25" s="1137"/>
      <c r="Q25" s="1136">
        <f t="shared" si="0"/>
        <v>8</v>
      </c>
      <c r="R25" s="1129">
        <f t="shared" si="2"/>
        <v>0</v>
      </c>
      <c r="S25" s="1126" t="s">
        <v>1189</v>
      </c>
      <c r="U25" s="1125">
        <v>4</v>
      </c>
      <c r="V25" s="1125"/>
      <c r="W25" s="1125"/>
      <c r="X25" s="1125"/>
      <c r="Y25" s="1125"/>
      <c r="Z25" s="1125">
        <v>2</v>
      </c>
      <c r="AA25" s="1125">
        <v>0</v>
      </c>
      <c r="AB25" s="1125">
        <v>2</v>
      </c>
      <c r="AC25" s="1125"/>
      <c r="AF25" s="214"/>
      <c r="AH25" s="1122">
        <f t="shared" si="3"/>
        <v>8</v>
      </c>
    </row>
    <row r="26" spans="1:34" ht="23.25" customHeight="1">
      <c r="A26" s="1141">
        <f t="shared" si="1"/>
        <v>24</v>
      </c>
      <c r="B26" s="1140" t="s">
        <v>1188</v>
      </c>
      <c r="C26" s="1138"/>
      <c r="D26" s="1137"/>
      <c r="E26" s="1137"/>
      <c r="F26" s="1137"/>
      <c r="G26" s="1137"/>
      <c r="H26" s="1137"/>
      <c r="I26" s="1137">
        <v>713</v>
      </c>
      <c r="J26" s="1137"/>
      <c r="K26" s="1137"/>
      <c r="L26" s="1137"/>
      <c r="M26" s="1137"/>
      <c r="N26" s="1137"/>
      <c r="O26" s="1137"/>
      <c r="P26" s="1137"/>
      <c r="Q26" s="1136">
        <f t="shared" si="0"/>
        <v>713</v>
      </c>
      <c r="R26" s="1129">
        <f t="shared" si="2"/>
        <v>-1</v>
      </c>
      <c r="S26" s="1126" t="s">
        <v>1188</v>
      </c>
      <c r="U26" s="1125"/>
      <c r="V26" s="1125"/>
      <c r="W26" s="1125"/>
      <c r="X26" s="1125"/>
      <c r="Y26" s="1125">
        <v>714</v>
      </c>
      <c r="Z26" s="1125"/>
      <c r="AA26" s="1125">
        <v>0</v>
      </c>
      <c r="AB26" s="1125"/>
      <c r="AC26" s="1125"/>
      <c r="AF26" s="214"/>
      <c r="AH26" s="1122">
        <f t="shared" si="3"/>
        <v>714</v>
      </c>
    </row>
    <row r="27" spans="1:34" ht="23.25" customHeight="1">
      <c r="A27" s="1141">
        <f t="shared" si="1"/>
        <v>25</v>
      </c>
      <c r="B27" s="1140" t="s">
        <v>1187</v>
      </c>
      <c r="C27" s="1138"/>
      <c r="D27" s="1137"/>
      <c r="E27" s="1137"/>
      <c r="F27" s="1137"/>
      <c r="G27" s="1137"/>
      <c r="H27" s="1137"/>
      <c r="I27" s="1137">
        <v>205</v>
      </c>
      <c r="J27" s="1137"/>
      <c r="K27" s="1137">
        <v>407</v>
      </c>
      <c r="L27" s="1137">
        <v>734</v>
      </c>
      <c r="M27" s="1137">
        <v>145</v>
      </c>
      <c r="N27" s="1137"/>
      <c r="O27" s="1137"/>
      <c r="P27" s="1137"/>
      <c r="Q27" s="1136">
        <f t="shared" si="0"/>
        <v>1491</v>
      </c>
      <c r="R27" s="1129">
        <f t="shared" si="2"/>
        <v>305</v>
      </c>
      <c r="S27" s="1126" t="s">
        <v>1186</v>
      </c>
      <c r="U27" s="1125"/>
      <c r="V27" s="1125"/>
      <c r="W27" s="1125"/>
      <c r="X27" s="1125"/>
      <c r="Y27" s="1125"/>
      <c r="Z27" s="1125">
        <v>407</v>
      </c>
      <c r="AA27" s="1125">
        <v>734</v>
      </c>
      <c r="AB27" s="1125">
        <v>45</v>
      </c>
      <c r="AC27" s="1125"/>
      <c r="AF27" s="214"/>
      <c r="AH27" s="1122">
        <f t="shared" si="3"/>
        <v>1186</v>
      </c>
    </row>
    <row r="28" spans="1:34" ht="23.25" customHeight="1">
      <c r="A28" s="1141">
        <f t="shared" si="1"/>
        <v>26</v>
      </c>
      <c r="B28" s="1140" t="s">
        <v>1185</v>
      </c>
      <c r="C28" s="1138"/>
      <c r="D28" s="1137"/>
      <c r="E28" s="1137"/>
      <c r="F28" s="1137"/>
      <c r="G28" s="1137">
        <v>34</v>
      </c>
      <c r="H28" s="1137"/>
      <c r="I28" s="1137">
        <v>397</v>
      </c>
      <c r="J28" s="1137"/>
      <c r="K28" s="1137"/>
      <c r="L28" s="1137"/>
      <c r="M28" s="1137">
        <v>1</v>
      </c>
      <c r="N28" s="1137"/>
      <c r="O28" s="1137"/>
      <c r="P28" s="1137"/>
      <c r="Q28" s="1136">
        <f t="shared" si="0"/>
        <v>432</v>
      </c>
      <c r="R28" s="1129">
        <f t="shared" si="2"/>
        <v>298</v>
      </c>
      <c r="S28" s="1126" t="s">
        <v>1185</v>
      </c>
      <c r="U28" s="1125"/>
      <c r="V28" s="1125"/>
      <c r="W28" s="1125"/>
      <c r="X28" s="1125"/>
      <c r="Y28" s="1125">
        <v>133</v>
      </c>
      <c r="Z28" s="1125"/>
      <c r="AA28" s="1125">
        <v>0</v>
      </c>
      <c r="AB28" s="1125">
        <v>1</v>
      </c>
      <c r="AC28" s="1125"/>
      <c r="AF28" s="214"/>
      <c r="AH28" s="1122">
        <f t="shared" si="3"/>
        <v>134</v>
      </c>
    </row>
    <row r="29" spans="1:34" ht="23.25" customHeight="1">
      <c r="A29" s="1141">
        <f t="shared" si="1"/>
        <v>27</v>
      </c>
      <c r="B29" s="1140" t="s">
        <v>1184</v>
      </c>
      <c r="C29" s="1138"/>
      <c r="D29" s="1137"/>
      <c r="E29" s="1137"/>
      <c r="F29" s="1137"/>
      <c r="G29" s="1137"/>
      <c r="H29" s="1137"/>
      <c r="I29" s="1137">
        <v>461</v>
      </c>
      <c r="J29" s="1137"/>
      <c r="K29" s="1137"/>
      <c r="L29" s="1137">
        <f>359+74</f>
        <v>433</v>
      </c>
      <c r="M29" s="1137"/>
      <c r="N29" s="1137"/>
      <c r="O29" s="1137"/>
      <c r="P29" s="1137"/>
      <c r="Q29" s="1136">
        <f t="shared" si="0"/>
        <v>894</v>
      </c>
      <c r="R29" s="1129">
        <f t="shared" si="2"/>
        <v>558</v>
      </c>
      <c r="S29" s="1126" t="s">
        <v>1184</v>
      </c>
      <c r="U29" s="1125"/>
      <c r="V29" s="1125"/>
      <c r="W29" s="1125"/>
      <c r="X29" s="1125"/>
      <c r="Y29" s="1125">
        <v>241</v>
      </c>
      <c r="Z29" s="1125"/>
      <c r="AA29" s="1125">
        <v>95</v>
      </c>
      <c r="AB29" s="1125"/>
      <c r="AC29" s="1125"/>
      <c r="AF29" s="214"/>
      <c r="AH29" s="1122">
        <f t="shared" si="3"/>
        <v>336</v>
      </c>
    </row>
    <row r="30" spans="1:34" ht="23.25" customHeight="1">
      <c r="A30" s="1135">
        <f t="shared" si="1"/>
        <v>28</v>
      </c>
      <c r="B30" s="1140" t="s">
        <v>1183</v>
      </c>
      <c r="C30" s="1138"/>
      <c r="D30" s="1137">
        <v>432</v>
      </c>
      <c r="E30" s="1137"/>
      <c r="F30" s="1137"/>
      <c r="G30" s="1137"/>
      <c r="H30" s="1137"/>
      <c r="I30" s="1137"/>
      <c r="J30" s="1137"/>
      <c r="K30" s="1137"/>
      <c r="L30" s="1137"/>
      <c r="M30" s="1137"/>
      <c r="N30" s="1137"/>
      <c r="O30" s="1137"/>
      <c r="P30" s="1137"/>
      <c r="Q30" s="1136">
        <f t="shared" si="0"/>
        <v>432</v>
      </c>
      <c r="R30" s="1129">
        <f t="shared" si="2"/>
        <v>0</v>
      </c>
      <c r="S30" s="1126" t="s">
        <v>1182</v>
      </c>
      <c r="U30" s="1125">
        <v>432</v>
      </c>
      <c r="V30" s="1125"/>
      <c r="W30" s="1125"/>
      <c r="X30" s="1125"/>
      <c r="Y30" s="1125"/>
      <c r="Z30" s="1125"/>
      <c r="AA30" s="1125">
        <v>0</v>
      </c>
      <c r="AB30" s="1125"/>
      <c r="AC30" s="1125"/>
      <c r="AF30" s="214"/>
      <c r="AH30" s="1122">
        <f t="shared" si="3"/>
        <v>432</v>
      </c>
    </row>
    <row r="31" spans="1:34" ht="23.25" customHeight="1">
      <c r="A31" s="1135">
        <v>30</v>
      </c>
      <c r="B31" s="1140" t="s">
        <v>1181</v>
      </c>
      <c r="C31" s="1138"/>
      <c r="D31" s="1137"/>
      <c r="E31" s="1137"/>
      <c r="F31" s="1137"/>
      <c r="G31" s="1137">
        <v>91</v>
      </c>
      <c r="H31" s="1137"/>
      <c r="I31" s="1137">
        <v>2003</v>
      </c>
      <c r="J31" s="1137"/>
      <c r="K31" s="1137"/>
      <c r="L31" s="1137">
        <v>639</v>
      </c>
      <c r="M31" s="1137"/>
      <c r="N31" s="1137"/>
      <c r="O31" s="1137"/>
      <c r="P31" s="1137"/>
      <c r="Q31" s="1136">
        <f t="shared" ref="Q31:Q48" si="4">SUM(C31:P31)</f>
        <v>2733</v>
      </c>
      <c r="R31" s="1129">
        <f t="shared" si="2"/>
        <v>182</v>
      </c>
      <c r="S31" s="1126" t="s">
        <v>1180</v>
      </c>
      <c r="U31" s="1125"/>
      <c r="V31" s="1125"/>
      <c r="W31" s="1125"/>
      <c r="X31" s="1125"/>
      <c r="Y31" s="1125">
        <v>1910</v>
      </c>
      <c r="Z31" s="1125"/>
      <c r="AA31" s="1125">
        <v>641</v>
      </c>
      <c r="AB31" s="1125"/>
      <c r="AC31" s="1125"/>
      <c r="AF31" s="214"/>
      <c r="AH31" s="1122">
        <f t="shared" si="3"/>
        <v>2551</v>
      </c>
    </row>
    <row r="32" spans="1:34" ht="23.25" customHeight="1">
      <c r="A32" s="1135">
        <f t="shared" si="1"/>
        <v>31</v>
      </c>
      <c r="B32" s="1139" t="s">
        <v>1179</v>
      </c>
      <c r="C32" s="1138"/>
      <c r="D32" s="1137"/>
      <c r="E32" s="1137"/>
      <c r="F32" s="1137"/>
      <c r="G32" s="1137"/>
      <c r="H32" s="1137"/>
      <c r="I32" s="1137">
        <v>5</v>
      </c>
      <c r="J32" s="1137"/>
      <c r="K32" s="1137"/>
      <c r="L32" s="1137">
        <v>1</v>
      </c>
      <c r="M32" s="1137"/>
      <c r="N32" s="1137"/>
      <c r="O32" s="1137"/>
      <c r="P32" s="1137"/>
      <c r="Q32" s="1136">
        <f t="shared" si="4"/>
        <v>6</v>
      </c>
      <c r="R32" s="1129">
        <f t="shared" si="2"/>
        <v>-338</v>
      </c>
      <c r="S32" s="1126" t="s">
        <v>1178</v>
      </c>
      <c r="U32" s="1125"/>
      <c r="V32" s="1125"/>
      <c r="W32" s="1125"/>
      <c r="X32" s="1125"/>
      <c r="Y32" s="1125">
        <v>5</v>
      </c>
      <c r="Z32" s="1125"/>
      <c r="AA32" s="1125">
        <v>339</v>
      </c>
      <c r="AB32" s="1125"/>
      <c r="AC32" s="1125"/>
      <c r="AF32" s="214"/>
      <c r="AH32" s="1122">
        <f t="shared" si="3"/>
        <v>344</v>
      </c>
    </row>
    <row r="33" spans="1:34" ht="23.25" customHeight="1">
      <c r="A33" s="1135">
        <f t="shared" si="1"/>
        <v>32</v>
      </c>
      <c r="B33" s="1139" t="s">
        <v>1177</v>
      </c>
      <c r="C33" s="1138"/>
      <c r="D33" s="1137"/>
      <c r="E33" s="1137"/>
      <c r="F33" s="1137"/>
      <c r="G33" s="1137"/>
      <c r="H33" s="1137"/>
      <c r="I33" s="1137">
        <v>2</v>
      </c>
      <c r="J33" s="1137"/>
      <c r="K33" s="1137"/>
      <c r="L33" s="1137"/>
      <c r="M33" s="1137"/>
      <c r="N33" s="1137"/>
      <c r="O33" s="1137"/>
      <c r="P33" s="1137"/>
      <c r="Q33" s="1136">
        <f t="shared" si="4"/>
        <v>2</v>
      </c>
      <c r="R33" s="1129">
        <f t="shared" si="2"/>
        <v>-40</v>
      </c>
      <c r="S33" s="1126" t="s">
        <v>1176</v>
      </c>
      <c r="U33" s="1125"/>
      <c r="V33" s="1125"/>
      <c r="W33" s="1125"/>
      <c r="X33" s="1125"/>
      <c r="Y33" s="1125">
        <v>42</v>
      </c>
      <c r="Z33" s="1125"/>
      <c r="AA33" s="1125">
        <v>0</v>
      </c>
      <c r="AB33" s="1125"/>
      <c r="AC33" s="1125"/>
      <c r="AF33" s="214"/>
      <c r="AH33" s="1122">
        <f t="shared" si="3"/>
        <v>42</v>
      </c>
    </row>
    <row r="34" spans="1:34" ht="23.25" customHeight="1">
      <c r="A34" s="1135">
        <f t="shared" si="1"/>
        <v>33</v>
      </c>
      <c r="B34" s="1139" t="s">
        <v>1175</v>
      </c>
      <c r="C34" s="1138"/>
      <c r="D34" s="1137"/>
      <c r="E34" s="1137"/>
      <c r="F34" s="1137"/>
      <c r="G34" s="1137"/>
      <c r="H34" s="1137"/>
      <c r="I34" s="1137">
        <v>1205</v>
      </c>
      <c r="J34" s="1137"/>
      <c r="K34" s="1137"/>
      <c r="L34" s="1137"/>
      <c r="M34" s="1137"/>
      <c r="N34" s="1137"/>
      <c r="O34" s="1137"/>
      <c r="P34" s="1137"/>
      <c r="Q34" s="1136">
        <f t="shared" si="4"/>
        <v>1205</v>
      </c>
      <c r="R34" s="1129">
        <f t="shared" si="2"/>
        <v>50</v>
      </c>
      <c r="S34" s="1126" t="s">
        <v>1174</v>
      </c>
      <c r="U34" s="1125"/>
      <c r="V34" s="1125"/>
      <c r="W34" s="1125"/>
      <c r="X34" s="1125"/>
      <c r="Y34" s="1125">
        <v>1155</v>
      </c>
      <c r="Z34" s="1125"/>
      <c r="AA34" s="1125">
        <v>0</v>
      </c>
      <c r="AB34" s="1125"/>
      <c r="AC34" s="1125"/>
      <c r="AF34" s="214"/>
      <c r="AH34" s="1122">
        <f>SUM(T34:AG34)</f>
        <v>1155</v>
      </c>
    </row>
    <row r="35" spans="1:34" ht="23.25" customHeight="1">
      <c r="A35" s="1135">
        <f t="shared" si="1"/>
        <v>34</v>
      </c>
      <c r="B35" s="1139" t="s">
        <v>1173</v>
      </c>
      <c r="C35" s="1138"/>
      <c r="D35" s="1137"/>
      <c r="E35" s="1137"/>
      <c r="F35" s="1137"/>
      <c r="G35" s="1137"/>
      <c r="H35" s="1137"/>
      <c r="I35" s="1137"/>
      <c r="J35" s="1137"/>
      <c r="K35" s="1137"/>
      <c r="L35" s="1137">
        <v>293</v>
      </c>
      <c r="M35" s="1137"/>
      <c r="N35" s="1137"/>
      <c r="O35" s="1137"/>
      <c r="P35" s="1137"/>
      <c r="Q35" s="1136">
        <f t="shared" si="4"/>
        <v>293</v>
      </c>
      <c r="R35" s="1129">
        <f t="shared" si="2"/>
        <v>0</v>
      </c>
      <c r="S35" s="1126" t="s">
        <v>1172</v>
      </c>
      <c r="U35" s="1125"/>
      <c r="V35" s="1125"/>
      <c r="W35" s="1125"/>
      <c r="X35" s="1125"/>
      <c r="Y35" s="1125"/>
      <c r="Z35" s="1125"/>
      <c r="AA35" s="1125">
        <v>293</v>
      </c>
      <c r="AB35" s="1125"/>
      <c r="AC35" s="1125"/>
      <c r="AF35" s="214"/>
      <c r="AH35" s="1122">
        <f t="shared" si="3"/>
        <v>293</v>
      </c>
    </row>
    <row r="36" spans="1:34" ht="23.25" customHeight="1">
      <c r="A36" s="1135">
        <f t="shared" si="1"/>
        <v>35</v>
      </c>
      <c r="B36" s="1139" t="s">
        <v>1171</v>
      </c>
      <c r="C36" s="1138"/>
      <c r="D36" s="1137"/>
      <c r="E36" s="1137"/>
      <c r="F36" s="1137"/>
      <c r="G36" s="1137"/>
      <c r="H36" s="1137"/>
      <c r="I36" s="1137"/>
      <c r="J36" s="1137"/>
      <c r="K36" s="1137">
        <v>192</v>
      </c>
      <c r="L36" s="1137"/>
      <c r="M36" s="1137">
        <v>106</v>
      </c>
      <c r="N36" s="1137"/>
      <c r="O36" s="1137"/>
      <c r="P36" s="1137">
        <v>95</v>
      </c>
      <c r="Q36" s="1136">
        <f t="shared" si="4"/>
        <v>393</v>
      </c>
      <c r="R36" s="1129">
        <f t="shared" si="2"/>
        <v>0</v>
      </c>
      <c r="S36" s="1126" t="s">
        <v>1170</v>
      </c>
      <c r="U36" s="1125"/>
      <c r="V36" s="1125"/>
      <c r="W36" s="1125"/>
      <c r="X36" s="1125"/>
      <c r="Y36" s="1125"/>
      <c r="Z36" s="1125">
        <v>192</v>
      </c>
      <c r="AA36" s="1125">
        <v>0</v>
      </c>
      <c r="AB36" s="1125">
        <v>106</v>
      </c>
      <c r="AC36" s="1125"/>
      <c r="AF36" s="214">
        <v>95</v>
      </c>
      <c r="AH36" s="1122">
        <f>SUM(T36:AG36)</f>
        <v>393</v>
      </c>
    </row>
    <row r="37" spans="1:34" ht="26.25">
      <c r="A37" s="1135">
        <f t="shared" si="1"/>
        <v>36</v>
      </c>
      <c r="B37" s="1139" t="s">
        <v>1169</v>
      </c>
      <c r="C37" s="1138"/>
      <c r="D37" s="1137"/>
      <c r="E37" s="1137"/>
      <c r="F37" s="1137"/>
      <c r="G37" s="1137">
        <v>263</v>
      </c>
      <c r="H37" s="1137"/>
      <c r="I37" s="1137">
        <v>51</v>
      </c>
      <c r="J37" s="1137"/>
      <c r="K37" s="1137">
        <v>22</v>
      </c>
      <c r="L37" s="1137"/>
      <c r="M37" s="1137"/>
      <c r="N37" s="1137"/>
      <c r="O37" s="1137"/>
      <c r="P37" s="1137"/>
      <c r="Q37" s="1136">
        <f t="shared" si="4"/>
        <v>336</v>
      </c>
      <c r="R37" s="1129">
        <f t="shared" si="2"/>
        <v>53</v>
      </c>
      <c r="S37" s="1126" t="s">
        <v>1168</v>
      </c>
      <c r="U37" s="1125"/>
      <c r="V37" s="1125"/>
      <c r="W37" s="1125">
        <v>263</v>
      </c>
      <c r="X37" s="1125"/>
      <c r="Y37" s="1125">
        <v>6</v>
      </c>
      <c r="Z37" s="1125">
        <v>14</v>
      </c>
      <c r="AA37" s="1125">
        <v>0</v>
      </c>
      <c r="AB37" s="1125"/>
      <c r="AC37" s="1125"/>
      <c r="AF37" s="214"/>
      <c r="AH37" s="1122">
        <f t="shared" si="3"/>
        <v>283</v>
      </c>
    </row>
    <row r="38" spans="1:34" ht="26.25">
      <c r="A38" s="1135">
        <f t="shared" si="1"/>
        <v>37</v>
      </c>
      <c r="B38" s="1139" t="s">
        <v>1167</v>
      </c>
      <c r="C38" s="1138"/>
      <c r="D38" s="1137"/>
      <c r="E38" s="1137"/>
      <c r="F38" s="1137"/>
      <c r="G38" s="1137"/>
      <c r="H38" s="1137"/>
      <c r="I38" s="1137"/>
      <c r="J38" s="1137"/>
      <c r="K38" s="1137">
        <v>200</v>
      </c>
      <c r="L38" s="1137"/>
      <c r="M38" s="1137">
        <v>68</v>
      </c>
      <c r="N38" s="1137"/>
      <c r="O38" s="1137"/>
      <c r="P38" s="1137"/>
      <c r="Q38" s="1136">
        <f t="shared" si="4"/>
        <v>268</v>
      </c>
      <c r="R38" s="1129">
        <f t="shared" si="2"/>
        <v>218</v>
      </c>
      <c r="S38" s="1126" t="s">
        <v>1167</v>
      </c>
      <c r="U38" s="1125"/>
      <c r="V38" s="1125"/>
      <c r="W38" s="1125"/>
      <c r="X38" s="1125"/>
      <c r="Y38" s="1125"/>
      <c r="Z38" s="1125"/>
      <c r="AA38" s="1125">
        <v>0</v>
      </c>
      <c r="AB38" s="1125">
        <v>50</v>
      </c>
      <c r="AC38" s="1125"/>
      <c r="AF38" s="214"/>
      <c r="AH38" s="1122">
        <f t="shared" si="3"/>
        <v>50</v>
      </c>
    </row>
    <row r="39" spans="1:34" ht="26.25">
      <c r="A39" s="1135">
        <f t="shared" si="1"/>
        <v>38</v>
      </c>
      <c r="B39" s="1139" t="s">
        <v>1166</v>
      </c>
      <c r="C39" s="1138"/>
      <c r="D39" s="1137"/>
      <c r="E39" s="1137"/>
      <c r="F39" s="1137"/>
      <c r="G39" s="1137"/>
      <c r="H39" s="1137"/>
      <c r="I39" s="1137"/>
      <c r="J39" s="1137"/>
      <c r="K39" s="1137">
        <v>294</v>
      </c>
      <c r="L39" s="1137"/>
      <c r="M39" s="1137">
        <v>290</v>
      </c>
      <c r="N39" s="1137"/>
      <c r="O39" s="1137"/>
      <c r="P39" s="1137">
        <v>148</v>
      </c>
      <c r="Q39" s="1136">
        <f t="shared" si="4"/>
        <v>732</v>
      </c>
      <c r="R39" s="1129">
        <f t="shared" si="2"/>
        <v>-2</v>
      </c>
      <c r="S39" s="1126" t="s">
        <v>1165</v>
      </c>
      <c r="U39" s="1125"/>
      <c r="V39" s="1125"/>
      <c r="W39" s="1125"/>
      <c r="X39" s="1125"/>
      <c r="Y39" s="1125"/>
      <c r="Z39" s="1125">
        <v>294</v>
      </c>
      <c r="AA39" s="1125">
        <v>0</v>
      </c>
      <c r="AB39" s="1125">
        <v>290</v>
      </c>
      <c r="AC39" s="1125"/>
      <c r="AF39" s="214">
        <v>150</v>
      </c>
      <c r="AH39" s="1122">
        <f t="shared" si="3"/>
        <v>734</v>
      </c>
    </row>
    <row r="40" spans="1:34" ht="26.25">
      <c r="A40" s="1135">
        <f t="shared" si="1"/>
        <v>39</v>
      </c>
      <c r="B40" s="1139" t="s">
        <v>1164</v>
      </c>
      <c r="C40" s="1138"/>
      <c r="D40" s="1137">
        <v>10</v>
      </c>
      <c r="E40" s="1137"/>
      <c r="F40" s="1137"/>
      <c r="G40" s="1137"/>
      <c r="H40" s="1137"/>
      <c r="I40" s="1137"/>
      <c r="J40" s="1137"/>
      <c r="K40" s="1137">
        <v>65</v>
      </c>
      <c r="L40" s="1137"/>
      <c r="M40" s="1137"/>
      <c r="N40" s="1137"/>
      <c r="O40" s="1137"/>
      <c r="P40" s="1137"/>
      <c r="Q40" s="1136">
        <f t="shared" si="4"/>
        <v>75</v>
      </c>
      <c r="R40" s="1129">
        <f t="shared" si="2"/>
        <v>3</v>
      </c>
      <c r="S40" s="1126" t="s">
        <v>1163</v>
      </c>
      <c r="U40" s="1125">
        <v>10</v>
      </c>
      <c r="V40" s="1125"/>
      <c r="W40" s="1125"/>
      <c r="X40" s="1125"/>
      <c r="Y40" s="1125"/>
      <c r="Z40" s="1125">
        <v>62</v>
      </c>
      <c r="AA40" s="1125">
        <v>0</v>
      </c>
      <c r="AB40" s="1125"/>
      <c r="AC40" s="1125"/>
      <c r="AF40" s="214"/>
      <c r="AH40" s="1122">
        <f t="shared" si="3"/>
        <v>72</v>
      </c>
    </row>
    <row r="41" spans="1:34" ht="26.25">
      <c r="A41" s="1135">
        <f t="shared" si="1"/>
        <v>40</v>
      </c>
      <c r="B41" s="1139" t="s">
        <v>1162</v>
      </c>
      <c r="C41" s="1138"/>
      <c r="D41" s="1137"/>
      <c r="E41" s="1137"/>
      <c r="F41" s="1137"/>
      <c r="G41" s="1137"/>
      <c r="H41" s="1137"/>
      <c r="I41" s="1137"/>
      <c r="J41" s="1137"/>
      <c r="K41" s="1137"/>
      <c r="L41" s="1137">
        <v>100</v>
      </c>
      <c r="M41" s="1137"/>
      <c r="N41" s="1137"/>
      <c r="O41" s="1137"/>
      <c r="P41" s="1137"/>
      <c r="Q41" s="1136">
        <f t="shared" si="4"/>
        <v>100</v>
      </c>
      <c r="R41" s="1129">
        <f t="shared" si="2"/>
        <v>0</v>
      </c>
      <c r="S41" s="1126" t="s">
        <v>1161</v>
      </c>
      <c r="U41" s="1125"/>
      <c r="V41" s="1125"/>
      <c r="W41" s="1125"/>
      <c r="X41" s="1125"/>
      <c r="Y41" s="1125"/>
      <c r="Z41" s="1125"/>
      <c r="AA41" s="1125">
        <v>100</v>
      </c>
      <c r="AB41" s="1125"/>
      <c r="AC41" s="1125"/>
      <c r="AF41" s="214"/>
      <c r="AH41" s="1122">
        <f t="shared" si="3"/>
        <v>100</v>
      </c>
    </row>
    <row r="42" spans="1:34" ht="26.25">
      <c r="A42" s="1135">
        <f t="shared" si="1"/>
        <v>41</v>
      </c>
      <c r="B42" s="1139" t="s">
        <v>1160</v>
      </c>
      <c r="C42" s="1138"/>
      <c r="D42" s="1137"/>
      <c r="E42" s="1137"/>
      <c r="F42" s="1137"/>
      <c r="G42" s="1137"/>
      <c r="H42" s="1137"/>
      <c r="I42" s="1137">
        <v>500</v>
      </c>
      <c r="J42" s="1137"/>
      <c r="K42" s="1137"/>
      <c r="L42" s="1137"/>
      <c r="M42" s="1137"/>
      <c r="N42" s="1137"/>
      <c r="O42" s="1137"/>
      <c r="P42" s="1137"/>
      <c r="Q42" s="1136">
        <f t="shared" si="4"/>
        <v>500</v>
      </c>
      <c r="R42" s="1129">
        <f t="shared" si="2"/>
        <v>0</v>
      </c>
      <c r="S42" s="1126" t="s">
        <v>1159</v>
      </c>
      <c r="U42" s="1125"/>
      <c r="V42" s="1125"/>
      <c r="W42" s="1125"/>
      <c r="X42" s="1125"/>
      <c r="Y42" s="1125">
        <v>500</v>
      </c>
      <c r="Z42" s="1125"/>
      <c r="AA42" s="1125">
        <v>0</v>
      </c>
      <c r="AB42" s="1125"/>
      <c r="AC42" s="1125"/>
      <c r="AF42" s="214"/>
      <c r="AH42" s="1122">
        <f t="shared" si="3"/>
        <v>500</v>
      </c>
    </row>
    <row r="43" spans="1:34" ht="26.25">
      <c r="A43" s="1135">
        <f t="shared" si="1"/>
        <v>42</v>
      </c>
      <c r="B43" s="1139" t="s">
        <v>1158</v>
      </c>
      <c r="C43" s="1138"/>
      <c r="D43" s="1137"/>
      <c r="E43" s="1137"/>
      <c r="F43" s="1137"/>
      <c r="G43" s="1137"/>
      <c r="H43" s="1137"/>
      <c r="I43" s="1137">
        <v>380</v>
      </c>
      <c r="J43" s="1137"/>
      <c r="K43" s="1137"/>
      <c r="L43" s="1137"/>
      <c r="M43" s="1137"/>
      <c r="N43" s="1137"/>
      <c r="O43" s="1137"/>
      <c r="P43" s="1137"/>
      <c r="Q43" s="1136">
        <f t="shared" si="4"/>
        <v>380</v>
      </c>
      <c r="R43" s="1129">
        <f t="shared" si="2"/>
        <v>10</v>
      </c>
      <c r="S43" s="1126" t="s">
        <v>1158</v>
      </c>
      <c r="U43" s="1125"/>
      <c r="V43" s="1125"/>
      <c r="W43" s="1125"/>
      <c r="X43" s="1125"/>
      <c r="Y43" s="1125">
        <v>370</v>
      </c>
      <c r="Z43" s="1125"/>
      <c r="AA43" s="1125">
        <v>0</v>
      </c>
      <c r="AB43" s="1125"/>
      <c r="AC43" s="1125"/>
      <c r="AF43" s="214"/>
      <c r="AH43" s="1122">
        <f t="shared" si="3"/>
        <v>370</v>
      </c>
    </row>
    <row r="44" spans="1:34" ht="26.25" customHeight="1">
      <c r="A44" s="1135">
        <f t="shared" si="1"/>
        <v>43</v>
      </c>
      <c r="B44" s="1139" t="s">
        <v>1157</v>
      </c>
      <c r="C44" s="1138">
        <v>5</v>
      </c>
      <c r="D44" s="1137"/>
      <c r="E44" s="1137"/>
      <c r="F44" s="1137"/>
      <c r="G44" s="1137"/>
      <c r="H44" s="1137"/>
      <c r="I44" s="1137"/>
      <c r="J44" s="1137"/>
      <c r="K44" s="1137"/>
      <c r="L44" s="1137"/>
      <c r="M44" s="1137"/>
      <c r="N44" s="1137"/>
      <c r="O44" s="1137"/>
      <c r="P44" s="1137"/>
      <c r="Q44" s="1136">
        <f t="shared" si="4"/>
        <v>5</v>
      </c>
      <c r="R44" s="1129">
        <f t="shared" si="2"/>
        <v>0</v>
      </c>
      <c r="S44" s="1126" t="s">
        <v>1156</v>
      </c>
      <c r="U44" s="1125"/>
      <c r="V44" s="1125"/>
      <c r="W44" s="1125"/>
      <c r="X44" s="1125"/>
      <c r="Y44" s="1125"/>
      <c r="Z44" s="1125"/>
      <c r="AA44" s="1125">
        <v>0</v>
      </c>
      <c r="AB44" s="1125"/>
      <c r="AC44" s="1125"/>
      <c r="AF44" s="214"/>
      <c r="AG44" s="214">
        <v>5</v>
      </c>
      <c r="AH44" s="1122">
        <f t="shared" si="3"/>
        <v>5</v>
      </c>
    </row>
    <row r="45" spans="1:34" ht="26.25" customHeight="1">
      <c r="A45" s="1135">
        <v>44</v>
      </c>
      <c r="B45" s="1139" t="s">
        <v>1155</v>
      </c>
      <c r="C45" s="1138"/>
      <c r="D45" s="1137"/>
      <c r="E45" s="1137"/>
      <c r="F45" s="1137"/>
      <c r="G45" s="1137"/>
      <c r="H45" s="1137"/>
      <c r="I45" s="1137">
        <v>38</v>
      </c>
      <c r="J45" s="1137"/>
      <c r="K45" s="1137"/>
      <c r="L45" s="1137"/>
      <c r="M45" s="1137"/>
      <c r="N45" s="1137"/>
      <c r="O45" s="1137"/>
      <c r="P45" s="1137"/>
      <c r="Q45" s="1136">
        <f t="shared" si="4"/>
        <v>38</v>
      </c>
      <c r="R45" s="1129"/>
      <c r="S45" s="1126"/>
      <c r="U45" s="1125"/>
      <c r="V45" s="1125"/>
      <c r="W45" s="1125"/>
      <c r="X45" s="1125"/>
      <c r="Y45" s="1125"/>
      <c r="Z45" s="1125"/>
      <c r="AA45" s="1125"/>
      <c r="AB45" s="1125"/>
      <c r="AC45" s="1125"/>
      <c r="AF45" s="214"/>
    </row>
    <row r="46" spans="1:34" ht="52.5">
      <c r="A46" s="1135">
        <v>45</v>
      </c>
      <c r="B46" s="1139" t="s">
        <v>1154</v>
      </c>
      <c r="C46" s="1138"/>
      <c r="D46" s="1137"/>
      <c r="E46" s="1137"/>
      <c r="F46" s="1137"/>
      <c r="G46" s="1137"/>
      <c r="H46" s="1137"/>
      <c r="I46" s="1137">
        <v>30</v>
      </c>
      <c r="J46" s="1137"/>
      <c r="K46" s="1137"/>
      <c r="L46" s="1137"/>
      <c r="M46" s="1137"/>
      <c r="N46" s="1137"/>
      <c r="O46" s="1137"/>
      <c r="P46" s="1137"/>
      <c r="Q46" s="1136">
        <f t="shared" si="4"/>
        <v>30</v>
      </c>
      <c r="R46" s="1129">
        <f t="shared" si="2"/>
        <v>22</v>
      </c>
      <c r="S46" s="1126" t="s">
        <v>1153</v>
      </c>
      <c r="U46" s="1125"/>
      <c r="V46" s="1125"/>
      <c r="W46" s="1125"/>
      <c r="X46" s="1125"/>
      <c r="Y46" s="1125"/>
      <c r="Z46" s="1125">
        <v>8</v>
      </c>
      <c r="AA46" s="1125">
        <v>0</v>
      </c>
      <c r="AB46" s="1125"/>
      <c r="AC46" s="1125"/>
      <c r="AF46" s="214"/>
      <c r="AH46" s="1122">
        <f t="shared" si="3"/>
        <v>8</v>
      </c>
    </row>
    <row r="47" spans="1:34" ht="26.25">
      <c r="A47" s="1135">
        <f t="shared" si="1"/>
        <v>46</v>
      </c>
      <c r="B47" s="1139" t="s">
        <v>1152</v>
      </c>
      <c r="C47" s="1138"/>
      <c r="D47" s="1137"/>
      <c r="E47" s="1137"/>
      <c r="F47" s="1137"/>
      <c r="G47" s="1137"/>
      <c r="H47" s="1137"/>
      <c r="I47" s="1137">
        <v>612</v>
      </c>
      <c r="J47" s="1137"/>
      <c r="K47" s="1137"/>
      <c r="L47" s="1137"/>
      <c r="M47" s="1137"/>
      <c r="N47" s="1137"/>
      <c r="O47" s="1137"/>
      <c r="P47" s="1137"/>
      <c r="Q47" s="1136">
        <f t="shared" si="4"/>
        <v>612</v>
      </c>
      <c r="R47" s="1129">
        <f t="shared" si="2"/>
        <v>0</v>
      </c>
      <c r="S47" s="1126" t="s">
        <v>1151</v>
      </c>
      <c r="U47" s="1125"/>
      <c r="V47" s="1125"/>
      <c r="W47" s="1125"/>
      <c r="X47" s="1125"/>
      <c r="Y47" s="1125">
        <v>612</v>
      </c>
      <c r="Z47" s="1125"/>
      <c r="AA47" s="1125">
        <v>0</v>
      </c>
      <c r="AB47" s="1125"/>
      <c r="AC47" s="1125"/>
      <c r="AF47" s="214"/>
      <c r="AH47" s="1122">
        <f t="shared" si="3"/>
        <v>612</v>
      </c>
    </row>
    <row r="48" spans="1:34" ht="27" thickBot="1">
      <c r="A48" s="1135">
        <f t="shared" si="1"/>
        <v>47</v>
      </c>
      <c r="B48" s="1134" t="s">
        <v>1150</v>
      </c>
      <c r="C48" s="1133"/>
      <c r="D48" s="1132"/>
      <c r="E48" s="1132"/>
      <c r="F48" s="1132"/>
      <c r="G48" s="1132"/>
      <c r="H48" s="1132"/>
      <c r="I48" s="1132"/>
      <c r="J48" s="1132"/>
      <c r="K48" s="1132">
        <v>69</v>
      </c>
      <c r="L48" s="1132"/>
      <c r="M48" s="1132"/>
      <c r="N48" s="1132"/>
      <c r="O48" s="1132"/>
      <c r="P48" s="1132"/>
      <c r="Q48" s="1131">
        <f t="shared" si="4"/>
        <v>69</v>
      </c>
      <c r="R48" s="1129">
        <f t="shared" si="2"/>
        <v>0</v>
      </c>
      <c r="S48" s="1126" t="s">
        <v>1149</v>
      </c>
      <c r="U48" s="1125"/>
      <c r="V48" s="1125"/>
      <c r="W48" s="1125"/>
      <c r="X48" s="1125"/>
      <c r="Y48" s="1125"/>
      <c r="Z48" s="1125">
        <v>69</v>
      </c>
      <c r="AA48" s="1125">
        <v>0</v>
      </c>
      <c r="AB48" s="1125"/>
      <c r="AC48" s="1125"/>
      <c r="AF48" s="214"/>
      <c r="AH48" s="1122">
        <f t="shared" si="3"/>
        <v>69</v>
      </c>
    </row>
    <row r="49" spans="1:34" ht="27" customHeight="1" thickBot="1">
      <c r="A49" s="3714" t="s">
        <v>281</v>
      </c>
      <c r="B49" s="3715"/>
      <c r="C49" s="1130">
        <f>SUM(C3:C48)</f>
        <v>5</v>
      </c>
      <c r="D49" s="1130">
        <f t="shared" ref="D49:Q49" si="5">SUM(D3:D48)</f>
        <v>1215</v>
      </c>
      <c r="E49" s="1130">
        <f t="shared" si="5"/>
        <v>0</v>
      </c>
      <c r="F49" s="1130">
        <f t="shared" si="5"/>
        <v>133</v>
      </c>
      <c r="G49" s="1130">
        <f t="shared" si="5"/>
        <v>1907</v>
      </c>
      <c r="H49" s="1130">
        <f t="shared" si="5"/>
        <v>0</v>
      </c>
      <c r="I49" s="1130">
        <f t="shared" si="5"/>
        <v>13648</v>
      </c>
      <c r="J49" s="1130">
        <f t="shared" si="5"/>
        <v>1920</v>
      </c>
      <c r="K49" s="1130">
        <f t="shared" si="5"/>
        <v>3330</v>
      </c>
      <c r="L49" s="1130">
        <f t="shared" si="5"/>
        <v>3759</v>
      </c>
      <c r="M49" s="1130">
        <f t="shared" si="5"/>
        <v>1638</v>
      </c>
      <c r="N49" s="1130">
        <f t="shared" si="5"/>
        <v>162</v>
      </c>
      <c r="O49" s="1130">
        <f t="shared" si="5"/>
        <v>990</v>
      </c>
      <c r="P49" s="1130">
        <f t="shared" si="5"/>
        <v>243</v>
      </c>
      <c r="Q49" s="1130">
        <f t="shared" si="5"/>
        <v>28950</v>
      </c>
      <c r="R49" s="1129">
        <f>+Q48-AH48</f>
        <v>0</v>
      </c>
      <c r="S49" s="1126"/>
      <c r="T49" s="1122">
        <f t="shared" ref="T49:AG49" si="6">SUM(T3:T48)</f>
        <v>0</v>
      </c>
      <c r="U49" s="1122">
        <f t="shared" si="6"/>
        <v>1022</v>
      </c>
      <c r="V49" s="1122">
        <f t="shared" si="6"/>
        <v>0</v>
      </c>
      <c r="W49" s="1122">
        <f t="shared" si="6"/>
        <v>1540</v>
      </c>
      <c r="X49" s="1122">
        <f t="shared" si="6"/>
        <v>0</v>
      </c>
      <c r="Y49" s="1122">
        <f t="shared" si="6"/>
        <v>13412</v>
      </c>
      <c r="Z49" s="1122">
        <f t="shared" si="6"/>
        <v>3148</v>
      </c>
      <c r="AA49" s="1122">
        <f t="shared" si="6"/>
        <v>3761</v>
      </c>
      <c r="AB49" s="1122">
        <f t="shared" si="6"/>
        <v>1521</v>
      </c>
      <c r="AC49" s="1122">
        <f t="shared" si="6"/>
        <v>161</v>
      </c>
      <c r="AD49" s="1122">
        <f t="shared" si="6"/>
        <v>991</v>
      </c>
      <c r="AE49" s="1122">
        <f t="shared" si="6"/>
        <v>131</v>
      </c>
      <c r="AF49" s="1122">
        <f t="shared" si="6"/>
        <v>245</v>
      </c>
      <c r="AG49" s="1122">
        <f t="shared" si="6"/>
        <v>5</v>
      </c>
      <c r="AH49" s="1122">
        <f t="shared" si="3"/>
        <v>25937</v>
      </c>
    </row>
    <row r="50" spans="1:34" ht="24.75">
      <c r="A50" s="1128" t="s">
        <v>1079</v>
      </c>
      <c r="B50" s="1128"/>
      <c r="C50" s="1128"/>
      <c r="D50" s="1127"/>
      <c r="E50" s="1127"/>
      <c r="F50" s="1127"/>
      <c r="G50" s="1127"/>
      <c r="H50" s="1127"/>
      <c r="I50" s="1127"/>
      <c r="J50" s="1127"/>
      <c r="K50" s="1127"/>
      <c r="L50" s="1127"/>
      <c r="M50" s="1127"/>
      <c r="N50" s="1127"/>
      <c r="O50" s="1127"/>
      <c r="P50" s="1127"/>
      <c r="Q50" s="1127"/>
      <c r="S50" s="1126"/>
      <c r="U50" s="1125"/>
      <c r="V50" s="1125"/>
      <c r="W50" s="1125"/>
      <c r="X50" s="1125"/>
      <c r="Y50" s="1125"/>
      <c r="Z50" s="1125"/>
      <c r="AA50" s="1125"/>
      <c r="AB50" s="1125"/>
      <c r="AC50" s="1125"/>
      <c r="AF50" s="214"/>
    </row>
    <row r="51" spans="1:34">
      <c r="Q51" s="1124"/>
      <c r="AF51" s="214"/>
    </row>
    <row r="52" spans="1:34">
      <c r="AF52" s="214"/>
    </row>
    <row r="53" spans="1:34">
      <c r="AF53" s="214"/>
    </row>
    <row r="54" spans="1:34">
      <c r="AF54" s="214"/>
    </row>
    <row r="55" spans="1:34">
      <c r="AE55" s="214"/>
      <c r="AF55" s="214"/>
      <c r="AG55" s="1122"/>
    </row>
    <row r="56" spans="1:34">
      <c r="AE56" s="214"/>
      <c r="AF56" s="214"/>
      <c r="AG56" s="1122"/>
    </row>
    <row r="65" ht="25.5" customHeight="1"/>
    <row r="67" ht="25.5" customHeight="1"/>
    <row r="70" ht="25.5" customHeight="1"/>
  </sheetData>
  <mergeCells count="2">
    <mergeCell ref="A1:Q1"/>
    <mergeCell ref="A49:B49"/>
  </mergeCells>
  <printOptions horizontalCentered="1" verticalCentered="1"/>
  <pageMargins left="0" right="0" top="0" bottom="0" header="0.31496062992125984" footer="0.31496062992125984"/>
  <pageSetup paperSize="9" scale="4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</sheetPr>
  <dimension ref="A1:T18"/>
  <sheetViews>
    <sheetView rightToLeft="1" workbookViewId="0">
      <selection activeCell="U1" sqref="A1:U18"/>
    </sheetView>
  </sheetViews>
  <sheetFormatPr defaultColWidth="8" defaultRowHeight="15.75"/>
  <cols>
    <col min="1" max="8" width="8" style="77"/>
    <col min="9" max="9" width="5.875" style="77" customWidth="1"/>
    <col min="10" max="12" width="8" style="77" hidden="1" customWidth="1"/>
    <col min="13" max="15" width="8" style="77"/>
    <col min="16" max="16" width="6.75" style="77" customWidth="1"/>
    <col min="17" max="17" width="7.75" style="77" customWidth="1"/>
    <col min="18" max="18" width="15.875" style="77" customWidth="1"/>
    <col min="19" max="16384" width="8" style="77"/>
  </cols>
  <sheetData>
    <row r="1" spans="1:20" ht="24.75" thickBot="1">
      <c r="A1" s="3131" t="s">
        <v>1742</v>
      </c>
      <c r="B1" s="3131"/>
      <c r="C1" s="3131"/>
      <c r="D1" s="3131"/>
      <c r="E1" s="3131"/>
      <c r="F1" s="3131"/>
      <c r="G1" s="3131"/>
      <c r="H1" s="3131"/>
      <c r="I1" s="3131"/>
      <c r="J1" s="3131"/>
      <c r="K1" s="3131"/>
      <c r="L1" s="3131"/>
      <c r="M1" s="3131"/>
      <c r="N1" s="3131"/>
      <c r="O1" s="3131"/>
      <c r="P1" s="3131"/>
      <c r="Q1" s="3131"/>
      <c r="R1" s="3131"/>
      <c r="S1" s="3131"/>
    </row>
    <row r="2" spans="1:20" s="1418" customFormat="1" ht="21" thickBot="1">
      <c r="B2" s="3719" t="s">
        <v>1743</v>
      </c>
      <c r="C2" s="3720"/>
      <c r="D2" s="3720"/>
      <c r="E2" s="3720"/>
      <c r="F2" s="3720"/>
      <c r="G2" s="3720"/>
      <c r="H2" s="3720"/>
      <c r="I2" s="3720"/>
      <c r="J2" s="3720"/>
      <c r="K2" s="3720"/>
      <c r="L2" s="3720"/>
      <c r="M2" s="3720"/>
      <c r="N2" s="3720"/>
      <c r="O2" s="3720"/>
      <c r="P2" s="3720"/>
      <c r="Q2" s="3720"/>
      <c r="R2" s="3720"/>
      <c r="S2" s="3720"/>
      <c r="T2" s="3721"/>
    </row>
    <row r="3" spans="1:20" s="1418" customFormat="1" ht="23.25" thickBot="1">
      <c r="B3" s="3722" t="s">
        <v>339</v>
      </c>
      <c r="C3" s="3725" t="s">
        <v>768</v>
      </c>
      <c r="D3" s="3728" t="s">
        <v>1744</v>
      </c>
      <c r="E3" s="3729"/>
      <c r="F3" s="3729"/>
      <c r="G3" s="3729"/>
      <c r="H3" s="3730" t="s">
        <v>49</v>
      </c>
      <c r="I3" s="3733" t="s">
        <v>1745</v>
      </c>
      <c r="J3" s="3734"/>
      <c r="K3" s="3734"/>
      <c r="L3" s="3734"/>
      <c r="M3" s="3734"/>
      <c r="N3" s="3734"/>
      <c r="O3" s="3734"/>
      <c r="P3" s="3734"/>
      <c r="Q3" s="3734"/>
      <c r="R3" s="3734"/>
      <c r="S3" s="3734"/>
      <c r="T3" s="3735"/>
    </row>
    <row r="4" spans="1:20" s="1418" customFormat="1" ht="15.75" customHeight="1" thickTop="1">
      <c r="B4" s="3723"/>
      <c r="C4" s="3726"/>
      <c r="D4" s="3742" t="s">
        <v>934</v>
      </c>
      <c r="E4" s="3744" t="s">
        <v>933</v>
      </c>
      <c r="F4" s="3746" t="s">
        <v>1746</v>
      </c>
      <c r="G4" s="3748" t="s">
        <v>1747</v>
      </c>
      <c r="H4" s="3731"/>
      <c r="I4" s="3736"/>
      <c r="J4" s="3737"/>
      <c r="K4" s="3737"/>
      <c r="L4" s="3737"/>
      <c r="M4" s="3737"/>
      <c r="N4" s="3737"/>
      <c r="O4" s="3737"/>
      <c r="P4" s="3737"/>
      <c r="Q4" s="3737"/>
      <c r="R4" s="3737"/>
      <c r="S4" s="3737"/>
      <c r="T4" s="3738"/>
    </row>
    <row r="5" spans="1:20" s="1418" customFormat="1" ht="44.25" customHeight="1" thickBot="1">
      <c r="B5" s="3724"/>
      <c r="C5" s="3727"/>
      <c r="D5" s="3743"/>
      <c r="E5" s="3745"/>
      <c r="F5" s="3747"/>
      <c r="G5" s="3749"/>
      <c r="H5" s="3732"/>
      <c r="I5" s="3739"/>
      <c r="J5" s="3740"/>
      <c r="K5" s="3740"/>
      <c r="L5" s="3740"/>
      <c r="M5" s="3740"/>
      <c r="N5" s="3740"/>
      <c r="O5" s="3740"/>
      <c r="P5" s="3740"/>
      <c r="Q5" s="3740"/>
      <c r="R5" s="3740"/>
      <c r="S5" s="3740"/>
      <c r="T5" s="3741"/>
    </row>
    <row r="6" spans="1:20" s="1418" customFormat="1" ht="15.75" customHeight="1" thickBot="1">
      <c r="B6" s="1586">
        <v>1</v>
      </c>
      <c r="C6" s="1587" t="s">
        <v>1748</v>
      </c>
      <c r="D6" s="1588">
        <v>7</v>
      </c>
      <c r="E6" s="1589">
        <v>5</v>
      </c>
      <c r="F6" s="1590">
        <v>1</v>
      </c>
      <c r="G6" s="1591" t="s">
        <v>95</v>
      </c>
      <c r="H6" s="1592">
        <f>SUM(D6:G6)</f>
        <v>13</v>
      </c>
      <c r="I6" s="3716" t="s">
        <v>1749</v>
      </c>
      <c r="J6" s="3717"/>
      <c r="K6" s="3717"/>
      <c r="L6" s="3717"/>
      <c r="M6" s="3717"/>
      <c r="N6" s="3717"/>
      <c r="O6" s="3717"/>
      <c r="P6" s="3717"/>
      <c r="Q6" s="3717"/>
      <c r="R6" s="3717"/>
      <c r="S6" s="3717"/>
      <c r="T6" s="3718"/>
    </row>
    <row r="7" spans="1:20" s="1418" customFormat="1" ht="33" customHeight="1" thickBot="1">
      <c r="B7" s="1586">
        <v>2</v>
      </c>
      <c r="C7" s="1587" t="s">
        <v>1750</v>
      </c>
      <c r="D7" s="1588">
        <v>5</v>
      </c>
      <c r="E7" s="1589">
        <v>12</v>
      </c>
      <c r="F7" s="1590">
        <v>1</v>
      </c>
      <c r="G7" s="1591" t="s">
        <v>95</v>
      </c>
      <c r="H7" s="1592">
        <f>SUM(D7:G7)</f>
        <v>18</v>
      </c>
      <c r="I7" s="3750" t="s">
        <v>1751</v>
      </c>
      <c r="J7" s="3751"/>
      <c r="K7" s="3751"/>
      <c r="L7" s="3751"/>
      <c r="M7" s="3751"/>
      <c r="N7" s="3751"/>
      <c r="O7" s="3751"/>
      <c r="P7" s="3751"/>
      <c r="Q7" s="3751"/>
      <c r="R7" s="3751"/>
      <c r="S7" s="3751"/>
      <c r="T7" s="3752"/>
    </row>
    <row r="8" spans="1:20" s="1418" customFormat="1" ht="33" customHeight="1" thickBot="1">
      <c r="B8" s="1586">
        <v>3</v>
      </c>
      <c r="C8" s="1587" t="s">
        <v>1752</v>
      </c>
      <c r="D8" s="1588">
        <v>1</v>
      </c>
      <c r="E8" s="1589">
        <v>6</v>
      </c>
      <c r="F8" s="1590" t="s">
        <v>95</v>
      </c>
      <c r="G8" s="1591" t="s">
        <v>95</v>
      </c>
      <c r="H8" s="1592">
        <f>SUM(D8:G8)</f>
        <v>7</v>
      </c>
      <c r="I8" s="3753" t="s">
        <v>1753</v>
      </c>
      <c r="J8" s="3754"/>
      <c r="K8" s="3754"/>
      <c r="L8" s="3754"/>
      <c r="M8" s="3754"/>
      <c r="N8" s="3754"/>
      <c r="O8" s="3754"/>
      <c r="P8" s="3754"/>
      <c r="Q8" s="3754"/>
      <c r="R8" s="3754"/>
      <c r="S8" s="3754"/>
      <c r="T8" s="3755"/>
    </row>
    <row r="9" spans="1:20" s="1418" customFormat="1" ht="15.75" customHeight="1" thickBot="1">
      <c r="B9" s="1586">
        <v>4</v>
      </c>
      <c r="C9" s="1587" t="s">
        <v>1754</v>
      </c>
      <c r="D9" s="1588">
        <v>2</v>
      </c>
      <c r="E9" s="1589">
        <v>10</v>
      </c>
      <c r="F9" s="1590" t="s">
        <v>95</v>
      </c>
      <c r="G9" s="1591" t="s">
        <v>95</v>
      </c>
      <c r="H9" s="1592">
        <f t="shared" ref="H9:H15" si="0">SUM(D9:G9)</f>
        <v>12</v>
      </c>
      <c r="I9" s="3716" t="s">
        <v>1755</v>
      </c>
      <c r="J9" s="3717"/>
      <c r="K9" s="3717"/>
      <c r="L9" s="3717"/>
      <c r="M9" s="3717"/>
      <c r="N9" s="3717"/>
      <c r="O9" s="3717"/>
      <c r="P9" s="3717"/>
      <c r="Q9" s="3717"/>
      <c r="R9" s="3717"/>
      <c r="S9" s="3717"/>
      <c r="T9" s="3718"/>
    </row>
    <row r="10" spans="1:20" s="1418" customFormat="1" ht="15.75" customHeight="1" thickBot="1">
      <c r="B10" s="1586">
        <v>5</v>
      </c>
      <c r="C10" s="1587" t="s">
        <v>1756</v>
      </c>
      <c r="D10" s="1588">
        <v>6</v>
      </c>
      <c r="E10" s="1589">
        <v>3</v>
      </c>
      <c r="F10" s="1590" t="s">
        <v>95</v>
      </c>
      <c r="G10" s="1591" t="s">
        <v>95</v>
      </c>
      <c r="H10" s="1592">
        <f t="shared" si="0"/>
        <v>9</v>
      </c>
      <c r="I10" s="3716" t="s">
        <v>1757</v>
      </c>
      <c r="J10" s="3717"/>
      <c r="K10" s="3717"/>
      <c r="L10" s="3717"/>
      <c r="M10" s="3717"/>
      <c r="N10" s="3717"/>
      <c r="O10" s="3717"/>
      <c r="P10" s="3717"/>
      <c r="Q10" s="3717"/>
      <c r="R10" s="3717"/>
      <c r="S10" s="3717"/>
      <c r="T10" s="3718"/>
    </row>
    <row r="11" spans="1:20" s="1418" customFormat="1" ht="15.75" customHeight="1" thickBot="1">
      <c r="B11" s="1586">
        <v>6</v>
      </c>
      <c r="C11" s="1587" t="s">
        <v>1758</v>
      </c>
      <c r="D11" s="1588">
        <v>1</v>
      </c>
      <c r="E11" s="1589" t="s">
        <v>95</v>
      </c>
      <c r="F11" s="1590" t="s">
        <v>95</v>
      </c>
      <c r="G11" s="1591" t="s">
        <v>95</v>
      </c>
      <c r="H11" s="1592">
        <f t="shared" si="0"/>
        <v>1</v>
      </c>
      <c r="I11" s="3716" t="s">
        <v>1759</v>
      </c>
      <c r="J11" s="3717"/>
      <c r="K11" s="3717"/>
      <c r="L11" s="3717"/>
      <c r="M11" s="3717"/>
      <c r="N11" s="3717"/>
      <c r="O11" s="3717"/>
      <c r="P11" s="3717"/>
      <c r="Q11" s="3717"/>
      <c r="R11" s="3717"/>
      <c r="S11" s="3717"/>
      <c r="T11" s="3718"/>
    </row>
    <row r="12" spans="1:20" s="1418" customFormat="1" ht="15.75" customHeight="1" thickBot="1">
      <c r="B12" s="1586">
        <v>8</v>
      </c>
      <c r="C12" s="1587" t="s">
        <v>1760</v>
      </c>
      <c r="D12" s="1588">
        <v>1</v>
      </c>
      <c r="E12" s="1589">
        <v>3</v>
      </c>
      <c r="F12" s="1590" t="s">
        <v>95</v>
      </c>
      <c r="G12" s="1591" t="s">
        <v>95</v>
      </c>
      <c r="H12" s="1592">
        <f t="shared" si="0"/>
        <v>4</v>
      </c>
      <c r="I12" s="3716" t="s">
        <v>1761</v>
      </c>
      <c r="J12" s="3717"/>
      <c r="K12" s="3717"/>
      <c r="L12" s="3717"/>
      <c r="M12" s="3717"/>
      <c r="N12" s="3717"/>
      <c r="O12" s="3717"/>
      <c r="P12" s="3717"/>
      <c r="Q12" s="3717"/>
      <c r="R12" s="3717"/>
      <c r="S12" s="3717"/>
      <c r="T12" s="3718"/>
    </row>
    <row r="13" spans="1:20" s="1418" customFormat="1" ht="15.75" customHeight="1" thickBot="1">
      <c r="B13" s="1586">
        <v>9</v>
      </c>
      <c r="C13" s="1587" t="s">
        <v>1762</v>
      </c>
      <c r="D13" s="1588">
        <v>1</v>
      </c>
      <c r="E13" s="1589" t="s">
        <v>95</v>
      </c>
      <c r="F13" s="1590" t="s">
        <v>95</v>
      </c>
      <c r="G13" s="1591" t="s">
        <v>95</v>
      </c>
      <c r="H13" s="1592">
        <f t="shared" si="0"/>
        <v>1</v>
      </c>
      <c r="I13" s="3716" t="s">
        <v>1763</v>
      </c>
      <c r="J13" s="3717"/>
      <c r="K13" s="3717"/>
      <c r="L13" s="3717"/>
      <c r="M13" s="3717"/>
      <c r="N13" s="3717"/>
      <c r="O13" s="3717"/>
      <c r="P13" s="3717"/>
      <c r="Q13" s="3717"/>
      <c r="R13" s="3717"/>
      <c r="S13" s="3717"/>
      <c r="T13" s="3718"/>
    </row>
    <row r="14" spans="1:20" s="1418" customFormat="1" ht="15.75" customHeight="1" thickBot="1">
      <c r="B14" s="1586">
        <v>10</v>
      </c>
      <c r="C14" s="1587" t="s">
        <v>1764</v>
      </c>
      <c r="D14" s="1588">
        <v>3</v>
      </c>
      <c r="E14" s="1589">
        <v>9</v>
      </c>
      <c r="F14" s="1590">
        <v>1</v>
      </c>
      <c r="G14" s="1591" t="s">
        <v>95</v>
      </c>
      <c r="H14" s="1592">
        <f t="shared" si="0"/>
        <v>13</v>
      </c>
      <c r="I14" s="3716" t="s">
        <v>1765</v>
      </c>
      <c r="J14" s="3717"/>
      <c r="K14" s="3717"/>
      <c r="L14" s="3717"/>
      <c r="M14" s="3717"/>
      <c r="N14" s="3717"/>
      <c r="O14" s="3717"/>
      <c r="P14" s="3717"/>
      <c r="Q14" s="3717"/>
      <c r="R14" s="3717"/>
      <c r="S14" s="3717"/>
      <c r="T14" s="3718"/>
    </row>
    <row r="15" spans="1:20" s="1418" customFormat="1" ht="15.75" customHeight="1" thickBot="1">
      <c r="B15" s="1586">
        <v>11</v>
      </c>
      <c r="C15" s="1587" t="s">
        <v>1766</v>
      </c>
      <c r="D15" s="1588" t="s">
        <v>95</v>
      </c>
      <c r="E15" s="1589">
        <v>2</v>
      </c>
      <c r="F15" s="1590" t="s">
        <v>95</v>
      </c>
      <c r="G15" s="1591" t="s">
        <v>95</v>
      </c>
      <c r="H15" s="1592">
        <f t="shared" si="0"/>
        <v>2</v>
      </c>
      <c r="I15" s="3716" t="s">
        <v>1767</v>
      </c>
      <c r="J15" s="3717"/>
      <c r="K15" s="3717"/>
      <c r="L15" s="3717"/>
      <c r="M15" s="3717"/>
      <c r="N15" s="3717"/>
      <c r="O15" s="3717"/>
      <c r="P15" s="3717"/>
      <c r="Q15" s="3717"/>
      <c r="R15" s="3717"/>
      <c r="S15" s="3717"/>
      <c r="T15" s="3718"/>
    </row>
    <row r="16" spans="1:20" s="1418" customFormat="1" ht="15.75" customHeight="1" thickBot="1">
      <c r="B16" s="1586">
        <v>12</v>
      </c>
      <c r="C16" s="1587" t="s">
        <v>1768</v>
      </c>
      <c r="D16" s="1588">
        <v>4</v>
      </c>
      <c r="E16" s="1589">
        <v>3</v>
      </c>
      <c r="F16" s="1590" t="s">
        <v>95</v>
      </c>
      <c r="G16" s="1591" t="s">
        <v>95</v>
      </c>
      <c r="H16" s="1592">
        <f>SUM(D16:G16)</f>
        <v>7</v>
      </c>
      <c r="I16" s="3716" t="s">
        <v>1769</v>
      </c>
      <c r="J16" s="3717"/>
      <c r="K16" s="3717"/>
      <c r="L16" s="3717"/>
      <c r="M16" s="3717"/>
      <c r="N16" s="3717"/>
      <c r="O16" s="3717"/>
      <c r="P16" s="3717"/>
      <c r="Q16" s="3717"/>
      <c r="R16" s="3717"/>
      <c r="S16" s="3717"/>
      <c r="T16" s="3718"/>
    </row>
    <row r="17" spans="2:20" s="1418" customFormat="1" ht="15.75" customHeight="1" thickBot="1">
      <c r="B17" s="1586">
        <v>13</v>
      </c>
      <c r="C17" s="1587" t="s">
        <v>1770</v>
      </c>
      <c r="D17" s="1588" t="s">
        <v>95</v>
      </c>
      <c r="E17" s="1589" t="s">
        <v>95</v>
      </c>
      <c r="F17" s="1590" t="s">
        <v>95</v>
      </c>
      <c r="G17" s="1591">
        <v>1</v>
      </c>
      <c r="H17" s="1592">
        <f>SUM(G17)</f>
        <v>1</v>
      </c>
      <c r="I17" s="3756" t="s">
        <v>1771</v>
      </c>
      <c r="J17" s="3756"/>
      <c r="K17" s="3756"/>
      <c r="L17" s="3756"/>
      <c r="M17" s="3756"/>
      <c r="N17" s="3756"/>
      <c r="O17" s="3756"/>
      <c r="P17" s="3756"/>
      <c r="Q17" s="3756"/>
      <c r="R17" s="3756"/>
      <c r="S17" s="3756"/>
      <c r="T17" s="3757"/>
    </row>
    <row r="18" spans="2:20" s="1418" customFormat="1" ht="20.25" thickBot="1">
      <c r="B18" s="3758" t="s">
        <v>281</v>
      </c>
      <c r="C18" s="3759"/>
      <c r="D18" s="3759"/>
      <c r="E18" s="3759"/>
      <c r="F18" s="3759"/>
      <c r="G18" s="3760"/>
      <c r="H18" s="1593">
        <f>SUM(H6:H17)</f>
        <v>88</v>
      </c>
      <c r="I18" s="3761"/>
      <c r="J18" s="3762"/>
      <c r="K18" s="3762"/>
      <c r="L18" s="3762"/>
      <c r="M18" s="3762"/>
      <c r="N18" s="3762"/>
      <c r="O18" s="3762"/>
      <c r="P18" s="3762"/>
      <c r="Q18" s="3762"/>
      <c r="R18" s="3762"/>
      <c r="S18" s="3762"/>
      <c r="T18" s="3763"/>
    </row>
  </sheetData>
  <mergeCells count="25">
    <mergeCell ref="I17:T17"/>
    <mergeCell ref="B18:G18"/>
    <mergeCell ref="I18:T18"/>
    <mergeCell ref="I11:T11"/>
    <mergeCell ref="I12:T12"/>
    <mergeCell ref="I13:T13"/>
    <mergeCell ref="I14:T14"/>
    <mergeCell ref="I15:T15"/>
    <mergeCell ref="I16:T16"/>
    <mergeCell ref="I10:T10"/>
    <mergeCell ref="A1:S1"/>
    <mergeCell ref="B2:T2"/>
    <mergeCell ref="B3:B5"/>
    <mergeCell ref="C3:C5"/>
    <mergeCell ref="D3:G3"/>
    <mergeCell ref="H3:H5"/>
    <mergeCell ref="I3:T5"/>
    <mergeCell ref="D4:D5"/>
    <mergeCell ref="E4:E5"/>
    <mergeCell ref="F4:F5"/>
    <mergeCell ref="G4:G5"/>
    <mergeCell ref="I6:T6"/>
    <mergeCell ref="I7:T7"/>
    <mergeCell ref="I8:T8"/>
    <mergeCell ref="I9:T9"/>
  </mergeCells>
  <printOptions horizontalCentered="1" verticalCentered="1"/>
  <pageMargins left="0.25" right="0.25" top="0.75" bottom="0.75" header="0.3" footer="0.3"/>
  <pageSetup paperSize="9" scale="85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5"/>
  </sheetPr>
  <dimension ref="A1:G132"/>
  <sheetViews>
    <sheetView topLeftCell="A8" workbookViewId="0">
      <selection sqref="A1:F35"/>
    </sheetView>
  </sheetViews>
  <sheetFormatPr defaultColWidth="7" defaultRowHeight="15.75"/>
  <cols>
    <col min="1" max="1" width="9.625" style="1766" customWidth="1"/>
    <col min="2" max="2" width="9" style="1766" customWidth="1"/>
    <col min="3" max="3" width="38" style="1766" bestFit="1" customWidth="1"/>
    <col min="4" max="4" width="9" style="1766" customWidth="1"/>
    <col min="5" max="5" width="9.375" style="1766" bestFit="1" customWidth="1"/>
    <col min="6" max="6" width="30.75" style="1766" bestFit="1" customWidth="1"/>
    <col min="7" max="7" width="28.125" style="1766" customWidth="1"/>
    <col min="8" max="16384" width="7" style="1766"/>
  </cols>
  <sheetData>
    <row r="1" spans="1:7" ht="24" customHeight="1" thickBot="1">
      <c r="A1" s="3773" t="s">
        <v>1938</v>
      </c>
      <c r="B1" s="3773"/>
      <c r="C1" s="3773"/>
      <c r="D1" s="3773"/>
      <c r="E1" s="3773"/>
      <c r="F1" s="3773"/>
      <c r="G1" s="1765"/>
    </row>
    <row r="2" spans="1:7" ht="3.75" hidden="1" customHeight="1">
      <c r="A2" s="1767"/>
      <c r="B2" s="1767"/>
      <c r="C2" s="1767"/>
      <c r="D2" s="1767"/>
      <c r="E2" s="1767"/>
    </row>
    <row r="3" spans="1:7" ht="22.5" customHeight="1" thickBot="1">
      <c r="A3" s="3765" t="s">
        <v>1939</v>
      </c>
      <c r="B3" s="3774"/>
      <c r="C3" s="3774"/>
      <c r="D3" s="3765" t="s">
        <v>1940</v>
      </c>
      <c r="E3" s="3774"/>
      <c r="F3" s="3766"/>
    </row>
    <row r="4" spans="1:7" ht="30.75" customHeight="1" thickBot="1">
      <c r="A4" s="1768" t="s">
        <v>1941</v>
      </c>
      <c r="B4" s="1769" t="s">
        <v>1942</v>
      </c>
      <c r="C4" s="1770" t="s">
        <v>1943</v>
      </c>
      <c r="D4" s="1771" t="s">
        <v>1941</v>
      </c>
      <c r="E4" s="1772" t="s">
        <v>1942</v>
      </c>
      <c r="F4" s="1773" t="s">
        <v>1943</v>
      </c>
    </row>
    <row r="5" spans="1:7" ht="22.5" customHeight="1">
      <c r="A5" s="1774">
        <v>5278.1596479999998</v>
      </c>
      <c r="B5" s="1775">
        <v>6553.4605000000001</v>
      </c>
      <c r="C5" s="1776" t="s">
        <v>1944</v>
      </c>
      <c r="D5" s="1777">
        <v>4625.8240864999998</v>
      </c>
      <c r="E5" s="1778">
        <v>6280.5519999999997</v>
      </c>
      <c r="F5" s="1779" t="s">
        <v>1944</v>
      </c>
      <c r="G5" s="1780"/>
    </row>
    <row r="6" spans="1:7" ht="22.5" customHeight="1">
      <c r="A6" s="1781">
        <v>2606.5533371899992</v>
      </c>
      <c r="B6" s="1782">
        <v>2686.9579499999991</v>
      </c>
      <c r="C6" s="1783" t="s">
        <v>1945</v>
      </c>
      <c r="D6" s="1784">
        <v>3158.5491328199996</v>
      </c>
      <c r="E6" s="1785">
        <v>2828.0439799999999</v>
      </c>
      <c r="F6" s="1786" t="s">
        <v>1945</v>
      </c>
      <c r="G6" s="1780"/>
    </row>
    <row r="7" spans="1:7" ht="22.5" customHeight="1">
      <c r="A7" s="1781">
        <v>2408.7878470000001</v>
      </c>
      <c r="B7" s="1782">
        <v>3109.1824999999999</v>
      </c>
      <c r="C7" s="1787" t="s">
        <v>1946</v>
      </c>
      <c r="D7" s="1784">
        <v>2512.7921105999999</v>
      </c>
      <c r="E7" s="1785">
        <v>4602.3837000000003</v>
      </c>
      <c r="F7" s="1786" t="s">
        <v>1946</v>
      </c>
      <c r="G7" s="1780"/>
    </row>
    <row r="8" spans="1:7" ht="22.5" customHeight="1">
      <c r="A8" s="1781">
        <v>2283.9066451000008</v>
      </c>
      <c r="B8" s="1782">
        <v>4469.5305499999986</v>
      </c>
      <c r="C8" s="1783" t="s">
        <v>1947</v>
      </c>
      <c r="D8" s="1788">
        <v>2266.8506794999998</v>
      </c>
      <c r="E8" s="1785">
        <v>4689.5416999999998</v>
      </c>
      <c r="F8" s="1786" t="s">
        <v>1947</v>
      </c>
      <c r="G8" s="1780"/>
    </row>
    <row r="9" spans="1:7" ht="22.5" customHeight="1">
      <c r="A9" s="1781">
        <v>1234.2577747</v>
      </c>
      <c r="B9" s="1782">
        <v>1399.7665</v>
      </c>
      <c r="C9" s="1787" t="s">
        <v>1948</v>
      </c>
      <c r="D9" s="1784">
        <v>1645.0468524599999</v>
      </c>
      <c r="E9" s="1785">
        <v>2647.8773900000006</v>
      </c>
      <c r="F9" s="1786" t="s">
        <v>1949</v>
      </c>
      <c r="G9" s="1780"/>
    </row>
    <row r="10" spans="1:7" ht="22.5" customHeight="1">
      <c r="A10" s="1781">
        <v>1174.4295059099998</v>
      </c>
      <c r="B10" s="1782">
        <v>1130.1414299999999</v>
      </c>
      <c r="C10" s="1783" t="s">
        <v>1950</v>
      </c>
      <c r="D10" s="1784">
        <v>1482.9140795899998</v>
      </c>
      <c r="E10" s="1785">
        <v>1228.4416600000002</v>
      </c>
      <c r="F10" s="1786" t="s">
        <v>1951</v>
      </c>
      <c r="G10" s="1780"/>
    </row>
    <row r="11" spans="1:7" ht="22.5" customHeight="1">
      <c r="A11" s="1781">
        <v>1109.3999725799999</v>
      </c>
      <c r="B11" s="1782">
        <v>1149.9258900000002</v>
      </c>
      <c r="C11" s="1789" t="s">
        <v>1952</v>
      </c>
      <c r="D11" s="1784">
        <v>1442.37212146</v>
      </c>
      <c r="E11" s="1785">
        <v>1491.7139100000002</v>
      </c>
      <c r="F11" s="1786" t="s">
        <v>1950</v>
      </c>
      <c r="G11" s="1780"/>
    </row>
    <row r="12" spans="1:7" ht="22.5" customHeight="1">
      <c r="A12" s="1781">
        <v>966.75539247000017</v>
      </c>
      <c r="B12" s="1782">
        <v>853.64479000000006</v>
      </c>
      <c r="C12" s="1787" t="s">
        <v>1951</v>
      </c>
      <c r="D12" s="1788">
        <v>1374.3324587</v>
      </c>
      <c r="E12" s="1785">
        <v>1568.1701</v>
      </c>
      <c r="F12" s="1786" t="s">
        <v>1948</v>
      </c>
      <c r="G12" s="1780"/>
    </row>
    <row r="13" spans="1:7" ht="22.5" customHeight="1">
      <c r="A13" s="1781">
        <v>822.60837504999961</v>
      </c>
      <c r="B13" s="1782">
        <v>743.87684999999988</v>
      </c>
      <c r="C13" s="1783" t="s">
        <v>1953</v>
      </c>
      <c r="D13" s="1790">
        <v>950.96114410000007</v>
      </c>
      <c r="E13" s="1785">
        <v>1613.7323999999999</v>
      </c>
      <c r="F13" s="1786" t="s">
        <v>1954</v>
      </c>
      <c r="G13" s="1780"/>
    </row>
    <row r="14" spans="1:7" ht="22.5" customHeight="1">
      <c r="A14" s="1781">
        <v>785.62152680999986</v>
      </c>
      <c r="B14" s="1782">
        <v>2962.2323199999996</v>
      </c>
      <c r="C14" s="1783" t="s">
        <v>1955</v>
      </c>
      <c r="D14" s="1788">
        <v>898.61299773000007</v>
      </c>
      <c r="E14" s="1785">
        <v>901.24404000000004</v>
      </c>
      <c r="F14" s="1786" t="s">
        <v>1952</v>
      </c>
      <c r="G14" s="1780"/>
    </row>
    <row r="15" spans="1:7" ht="22.5" customHeight="1" thickBot="1">
      <c r="A15" s="1781">
        <f>A16-SUM(A5:A14)</f>
        <v>7742.4032000100051</v>
      </c>
      <c r="B15" s="1782">
        <f>B16-SUM(B5:B14)</f>
        <v>12868.69638999999</v>
      </c>
      <c r="C15" s="1791" t="s">
        <v>1956</v>
      </c>
      <c r="D15" s="1792">
        <f t="shared" ref="D15:E15" si="0">D16-SUM(D5:D14)</f>
        <v>7038.8353211399954</v>
      </c>
      <c r="E15" s="1793">
        <f t="shared" si="0"/>
        <v>11738.43545999999</v>
      </c>
      <c r="F15" s="1794" t="s">
        <v>1956</v>
      </c>
      <c r="G15" s="1795"/>
    </row>
    <row r="16" spans="1:7" ht="24.75" customHeight="1" thickBot="1">
      <c r="A16" s="1796">
        <v>26412.883224820001</v>
      </c>
      <c r="B16" s="1797">
        <v>37927.415669999988</v>
      </c>
      <c r="C16" s="1798" t="s">
        <v>281</v>
      </c>
      <c r="D16" s="1799">
        <v>27397.090984599996</v>
      </c>
      <c r="E16" s="1800">
        <v>39590.13633999999</v>
      </c>
      <c r="F16" s="1801" t="s">
        <v>281</v>
      </c>
    </row>
    <row r="17" spans="1:7" ht="15.75" customHeight="1">
      <c r="A17" s="1802"/>
      <c r="B17" s="1802"/>
      <c r="C17" s="1802"/>
      <c r="D17" s="1802"/>
      <c r="E17" s="3775" t="s">
        <v>1957</v>
      </c>
      <c r="F17" s="3775"/>
      <c r="G17" s="1803"/>
    </row>
    <row r="18" spans="1:7" ht="15.75" customHeight="1">
      <c r="A18" s="1802"/>
      <c r="B18" s="1802"/>
      <c r="C18" s="1802"/>
      <c r="D18" s="1802"/>
      <c r="E18" s="2530"/>
      <c r="F18" s="2530"/>
      <c r="G18" s="1803"/>
    </row>
    <row r="19" spans="1:7" ht="15.75" customHeight="1">
      <c r="A19" s="1802"/>
      <c r="B19" s="1802"/>
      <c r="C19" s="3767" t="s">
        <v>1960</v>
      </c>
      <c r="D19" s="3767"/>
      <c r="E19" s="3767"/>
      <c r="F19" s="3767"/>
      <c r="G19" s="1803"/>
    </row>
    <row r="20" spans="1:7" ht="15.75" customHeight="1" thickBot="1">
      <c r="A20" s="1802"/>
      <c r="B20" s="1802"/>
      <c r="C20" s="3768"/>
      <c r="D20" s="3768"/>
      <c r="E20" s="3768"/>
      <c r="F20" s="3768"/>
      <c r="G20" s="1803"/>
    </row>
    <row r="21" spans="1:7" ht="15.75" customHeight="1" thickBot="1">
      <c r="A21" s="1802"/>
      <c r="B21" s="1802"/>
      <c r="C21" s="3765" t="s">
        <v>1961</v>
      </c>
      <c r="D21" s="3766"/>
      <c r="E21" s="3765" t="s">
        <v>1962</v>
      </c>
      <c r="F21" s="3766"/>
      <c r="G21" s="1803"/>
    </row>
    <row r="22" spans="1:7" ht="15.75" customHeight="1" thickBot="1">
      <c r="A22" s="1802"/>
      <c r="B22" s="1802"/>
      <c r="C22" s="1806" t="s">
        <v>1942</v>
      </c>
      <c r="D22" s="1818" t="s">
        <v>1958</v>
      </c>
      <c r="E22" s="1770" t="s">
        <v>1942</v>
      </c>
      <c r="F22" s="1808" t="s">
        <v>1943</v>
      </c>
      <c r="G22" s="1803"/>
    </row>
    <row r="23" spans="1:7" ht="15.75" customHeight="1">
      <c r="A23" s="1802"/>
      <c r="B23" s="1802"/>
      <c r="C23" s="1810">
        <v>324</v>
      </c>
      <c r="D23" s="1819" t="s">
        <v>1963</v>
      </c>
      <c r="E23" s="1810">
        <v>318</v>
      </c>
      <c r="F23" s="2510" t="s">
        <v>1214</v>
      </c>
      <c r="G23" s="1803"/>
    </row>
    <row r="24" spans="1:7" ht="15.75" customHeight="1">
      <c r="A24" s="1802"/>
      <c r="B24" s="1802"/>
      <c r="C24" s="1812">
        <v>238.17500000000001</v>
      </c>
      <c r="D24" s="1820" t="s">
        <v>1180</v>
      </c>
      <c r="E24" s="1812">
        <v>238</v>
      </c>
      <c r="F24" s="2511" t="s">
        <v>1964</v>
      </c>
      <c r="G24" s="1803"/>
    </row>
    <row r="25" spans="1:7" ht="15.75" customHeight="1">
      <c r="A25" s="1802"/>
      <c r="B25" s="1802"/>
      <c r="C25" s="1812">
        <v>196.99</v>
      </c>
      <c r="D25" s="1820" t="s">
        <v>1964</v>
      </c>
      <c r="E25" s="1812">
        <v>197</v>
      </c>
      <c r="F25" s="2511" t="s">
        <v>1965</v>
      </c>
      <c r="G25" s="1803"/>
    </row>
    <row r="26" spans="1:7" ht="15.75" customHeight="1">
      <c r="A26" s="1802"/>
      <c r="B26" s="1802"/>
      <c r="C26" s="1812">
        <v>177.17699999999999</v>
      </c>
      <c r="D26" s="1820" t="s">
        <v>1966</v>
      </c>
      <c r="E26" s="1812">
        <v>176</v>
      </c>
      <c r="F26" s="2511" t="s">
        <v>1180</v>
      </c>
      <c r="G26" s="1803"/>
    </row>
    <row r="27" spans="1:7" ht="15.75" customHeight="1">
      <c r="A27" s="1802"/>
      <c r="B27" s="1802"/>
      <c r="C27" s="1812">
        <v>171.072</v>
      </c>
      <c r="D27" s="1820" t="s">
        <v>1967</v>
      </c>
      <c r="E27" s="1812">
        <v>170</v>
      </c>
      <c r="F27" s="2511" t="s">
        <v>1967</v>
      </c>
      <c r="G27" s="1803"/>
    </row>
    <row r="28" spans="1:7" ht="15.75" customHeight="1">
      <c r="A28" s="1802"/>
      <c r="B28" s="1802"/>
      <c r="C28" s="1812">
        <v>134.86000000000001</v>
      </c>
      <c r="D28" s="1820" t="s">
        <v>1965</v>
      </c>
      <c r="E28" s="1812">
        <v>135</v>
      </c>
      <c r="F28" s="2511" t="s">
        <v>1966</v>
      </c>
      <c r="G28" s="1803"/>
    </row>
    <row r="29" spans="1:7" ht="15.75" customHeight="1">
      <c r="A29" s="1802"/>
      <c r="B29" s="1802"/>
      <c r="C29" s="1812">
        <v>96.728999999999999</v>
      </c>
      <c r="D29" s="1820" t="s">
        <v>1968</v>
      </c>
      <c r="E29" s="1812">
        <v>96</v>
      </c>
      <c r="F29" s="2511" t="s">
        <v>1969</v>
      </c>
      <c r="G29" s="1803"/>
    </row>
    <row r="30" spans="1:7" ht="15.75" customHeight="1" thickBot="1">
      <c r="A30" s="1802"/>
      <c r="B30" s="1802"/>
      <c r="C30" s="1812">
        <v>80.225999999999999</v>
      </c>
      <c r="D30" s="1820" t="s">
        <v>1970</v>
      </c>
      <c r="E30" s="1812">
        <v>80</v>
      </c>
      <c r="F30" s="2511" t="s">
        <v>1971</v>
      </c>
      <c r="G30" s="1803"/>
    </row>
    <row r="31" spans="1:7" ht="15.75" customHeight="1">
      <c r="A31" s="1802"/>
      <c r="B31" s="1802"/>
      <c r="C31" s="1812">
        <v>73.575000000000003</v>
      </c>
      <c r="D31" s="1819" t="s">
        <v>1214</v>
      </c>
      <c r="E31" s="1812">
        <v>74</v>
      </c>
      <c r="F31" s="2511" t="s">
        <v>1972</v>
      </c>
      <c r="G31" s="1803"/>
    </row>
    <row r="32" spans="1:7" ht="15.75" customHeight="1">
      <c r="A32" s="1802"/>
      <c r="B32" s="1802"/>
      <c r="C32" s="1812">
        <v>63.241999999999997</v>
      </c>
      <c r="D32" s="1820" t="s">
        <v>1972</v>
      </c>
      <c r="E32" s="1812">
        <v>63</v>
      </c>
      <c r="F32" s="2511" t="s">
        <v>1973</v>
      </c>
      <c r="G32" s="1803"/>
    </row>
    <row r="33" spans="1:7" ht="15.75" customHeight="1" thickBot="1">
      <c r="A33" s="1802"/>
      <c r="B33" s="1802"/>
      <c r="C33" s="1821">
        <v>1620</v>
      </c>
      <c r="D33" s="1822" t="s">
        <v>1956</v>
      </c>
      <c r="E33" s="1821">
        <v>1503</v>
      </c>
      <c r="F33" s="2512" t="s">
        <v>1956</v>
      </c>
      <c r="G33" s="1803"/>
    </row>
    <row r="34" spans="1:7" ht="15.75" customHeight="1" thickBot="1">
      <c r="A34" s="1802"/>
      <c r="B34" s="1802"/>
      <c r="C34" s="1823">
        <v>3176</v>
      </c>
      <c r="D34" s="1824" t="s">
        <v>281</v>
      </c>
      <c r="E34" s="1825">
        <v>3050</v>
      </c>
      <c r="F34" s="1826" t="s">
        <v>281</v>
      </c>
      <c r="G34" s="1803"/>
    </row>
    <row r="35" spans="1:7" ht="15.75" customHeight="1">
      <c r="A35" s="1802"/>
      <c r="B35" s="1802"/>
      <c r="C35" s="3764" t="s">
        <v>1959</v>
      </c>
      <c r="D35" s="3764"/>
      <c r="E35" s="3764"/>
      <c r="F35" s="3764"/>
      <c r="G35" s="1803"/>
    </row>
    <row r="36" spans="1:7" ht="15.75" customHeight="1">
      <c r="A36" s="1802"/>
      <c r="B36" s="1802"/>
      <c r="C36" s="1802"/>
      <c r="D36" s="1802"/>
      <c r="E36" s="2530"/>
      <c r="F36" s="2530"/>
      <c r="G36" s="1803"/>
    </row>
    <row r="37" spans="1:7" ht="15.75" customHeight="1">
      <c r="A37" s="1802"/>
      <c r="B37" s="1802"/>
      <c r="C37" s="1802"/>
      <c r="D37" s="1802"/>
      <c r="E37" s="2530"/>
      <c r="F37" s="2530"/>
      <c r="G37" s="1803"/>
    </row>
    <row r="38" spans="1:7" ht="15.75" customHeight="1">
      <c r="A38" s="1802"/>
      <c r="B38" s="1802"/>
      <c r="C38" s="1802"/>
      <c r="D38" s="1802"/>
      <c r="E38" s="2530"/>
      <c r="F38" s="2530"/>
      <c r="G38" s="1803"/>
    </row>
    <row r="39" spans="1:7" ht="15.75" customHeight="1">
      <c r="A39" s="1802"/>
      <c r="B39" s="1802"/>
      <c r="C39" s="1802"/>
      <c r="D39" s="1802"/>
      <c r="E39" s="2530"/>
      <c r="F39" s="2530"/>
      <c r="G39" s="1803"/>
    </row>
    <row r="40" spans="1:7" ht="15.75" customHeight="1">
      <c r="A40" s="1802"/>
      <c r="B40" s="1802"/>
      <c r="C40" s="1802"/>
      <c r="D40" s="1802"/>
      <c r="E40" s="2530"/>
      <c r="F40" s="2530"/>
      <c r="G40" s="1803"/>
    </row>
    <row r="41" spans="1:7" ht="15.75" customHeight="1">
      <c r="A41" s="1802"/>
      <c r="B41" s="1802"/>
      <c r="C41" s="1802"/>
      <c r="D41" s="1802"/>
      <c r="E41" s="2530"/>
      <c r="F41" s="2530"/>
      <c r="G41" s="1803"/>
    </row>
    <row r="42" spans="1:7" ht="15.75" customHeight="1">
      <c r="A42" s="1802"/>
      <c r="B42" s="1802"/>
      <c r="C42" s="1802"/>
      <c r="D42" s="1802"/>
      <c r="E42" s="2530"/>
      <c r="F42" s="2530"/>
      <c r="G42" s="1803"/>
    </row>
    <row r="43" spans="1:7" ht="15.75" customHeight="1">
      <c r="A43" s="1802"/>
      <c r="B43" s="1802"/>
      <c r="C43" s="1802"/>
      <c r="D43" s="1802"/>
      <c r="E43" s="2530"/>
      <c r="F43" s="2530"/>
      <c r="G43" s="1803"/>
    </row>
    <row r="44" spans="1:7" ht="15.75" customHeight="1">
      <c r="A44" s="1804"/>
      <c r="B44" s="1804"/>
      <c r="C44" s="1802"/>
      <c r="D44" s="1803"/>
      <c r="E44" s="1803"/>
      <c r="F44" s="1803"/>
      <c r="G44" s="1803"/>
    </row>
    <row r="45" spans="1:7" ht="15.75" customHeight="1">
      <c r="A45" s="1802"/>
      <c r="B45" s="1802"/>
      <c r="C45" s="1804"/>
      <c r="D45" s="1804"/>
      <c r="E45" s="1802"/>
    </row>
    <row r="46" spans="1:7" ht="15.75" customHeight="1">
      <c r="A46" s="3776"/>
      <c r="B46" s="3776"/>
      <c r="C46" s="3776"/>
      <c r="D46" s="3776"/>
      <c r="E46" s="3776"/>
      <c r="F46" s="3776"/>
    </row>
    <row r="47" spans="1:7" ht="24" customHeight="1" thickBot="1">
      <c r="A47" s="3768"/>
      <c r="B47" s="3768"/>
      <c r="C47" s="3768"/>
      <c r="D47" s="3768"/>
      <c r="E47" s="3768"/>
      <c r="F47" s="3768"/>
      <c r="G47" s="1805"/>
    </row>
    <row r="48" spans="1:7" ht="23.25" customHeight="1" thickBot="1">
      <c r="A48" s="3765"/>
      <c r="B48" s="3774"/>
      <c r="C48" s="3774"/>
      <c r="D48" s="3766"/>
      <c r="E48" s="3765"/>
      <c r="F48" s="3766"/>
      <c r="G48" s="3772"/>
    </row>
    <row r="49" spans="1:7" ht="23.25" customHeight="1" thickBot="1">
      <c r="A49" s="1806"/>
      <c r="B49" s="3777"/>
      <c r="C49" s="3778"/>
      <c r="D49" s="1807"/>
      <c r="E49" s="1770"/>
      <c r="F49" s="1808"/>
      <c r="G49" s="3772"/>
    </row>
    <row r="50" spans="1:7" ht="23.25" customHeight="1">
      <c r="A50" s="1809"/>
      <c r="B50" s="3779"/>
      <c r="C50" s="3780"/>
      <c r="D50" s="3781"/>
      <c r="E50" s="1810"/>
      <c r="F50" s="2510"/>
      <c r="G50" s="3772"/>
    </row>
    <row r="51" spans="1:7" ht="23.25" customHeight="1">
      <c r="A51" s="1811"/>
      <c r="B51" s="3769"/>
      <c r="C51" s="3770"/>
      <c r="D51" s="3771"/>
      <c r="E51" s="1812"/>
      <c r="F51" s="2511"/>
      <c r="G51" s="3772"/>
    </row>
    <row r="52" spans="1:7" ht="23.25" customHeight="1">
      <c r="A52" s="1811"/>
      <c r="B52" s="3769"/>
      <c r="C52" s="3770"/>
      <c r="D52" s="3771"/>
      <c r="E52" s="1812"/>
      <c r="F52" s="2511"/>
      <c r="G52" s="3772"/>
    </row>
    <row r="53" spans="1:7" ht="23.25" customHeight="1">
      <c r="A53" s="1811"/>
      <c r="B53" s="3769"/>
      <c r="C53" s="3770"/>
      <c r="D53" s="3771"/>
      <c r="E53" s="1812"/>
      <c r="F53" s="2511"/>
      <c r="G53" s="3772"/>
    </row>
    <row r="54" spans="1:7" ht="23.25" customHeight="1">
      <c r="A54" s="1811"/>
      <c r="B54" s="3769"/>
      <c r="C54" s="3770"/>
      <c r="D54" s="3771"/>
      <c r="E54" s="1812"/>
      <c r="F54" s="2511"/>
      <c r="G54" s="3772"/>
    </row>
    <row r="55" spans="1:7" ht="23.25" customHeight="1">
      <c r="A55" s="1811"/>
      <c r="B55" s="3769"/>
      <c r="C55" s="3770"/>
      <c r="D55" s="3771"/>
      <c r="E55" s="1812"/>
      <c r="F55" s="2511"/>
      <c r="G55" s="3772"/>
    </row>
    <row r="56" spans="1:7" ht="23.25" customHeight="1">
      <c r="A56" s="1811"/>
      <c r="B56" s="3769"/>
      <c r="C56" s="3770"/>
      <c r="D56" s="3771"/>
      <c r="E56" s="1812"/>
      <c r="F56" s="2511"/>
      <c r="G56" s="3772"/>
    </row>
    <row r="57" spans="1:7" ht="23.25" customHeight="1">
      <c r="A57" s="1811"/>
      <c r="B57" s="3769"/>
      <c r="C57" s="3770"/>
      <c r="D57" s="3771"/>
      <c r="E57" s="1812"/>
      <c r="F57" s="2511"/>
      <c r="G57" s="3772"/>
    </row>
    <row r="58" spans="1:7" ht="23.25" customHeight="1">
      <c r="A58" s="1811"/>
      <c r="B58" s="3769"/>
      <c r="C58" s="3770"/>
      <c r="D58" s="3771"/>
      <c r="E58" s="1812"/>
      <c r="F58" s="2511"/>
      <c r="G58" s="3772"/>
    </row>
    <row r="59" spans="1:7" ht="23.25" customHeight="1">
      <c r="A59" s="1811"/>
      <c r="B59" s="3769"/>
      <c r="C59" s="3770"/>
      <c r="D59" s="3771"/>
      <c r="E59" s="1812"/>
      <c r="F59" s="2511"/>
      <c r="G59" s="3772"/>
    </row>
    <row r="60" spans="1:7" ht="23.25" customHeight="1" thickBot="1">
      <c r="A60" s="1813"/>
      <c r="B60" s="3783"/>
      <c r="C60" s="3784"/>
      <c r="D60" s="3785"/>
      <c r="E60" s="1821"/>
      <c r="F60" s="2512"/>
      <c r="G60" s="3772"/>
    </row>
    <row r="61" spans="1:7" ht="23.25" customHeight="1" thickBot="1">
      <c r="A61" s="1814"/>
      <c r="B61" s="3786"/>
      <c r="C61" s="3787"/>
      <c r="D61" s="3788"/>
      <c r="E61" s="1825"/>
      <c r="F61" s="1826"/>
      <c r="G61" s="3772"/>
    </row>
    <row r="62" spans="1:7" ht="23.25" customHeight="1">
      <c r="A62" s="1804"/>
      <c r="B62" s="1804"/>
      <c r="C62" s="1804"/>
      <c r="D62" s="1815"/>
      <c r="E62" s="3775"/>
      <c r="F62" s="3775"/>
      <c r="G62" s="1803"/>
    </row>
    <row r="63" spans="1:7" ht="23.25" customHeight="1">
      <c r="A63" s="1804"/>
      <c r="B63" s="214"/>
      <c r="C63" s="3782"/>
      <c r="D63" s="3782"/>
      <c r="E63" s="3782"/>
      <c r="F63" s="3782"/>
      <c r="G63" s="1803"/>
    </row>
    <row r="64" spans="1:7" ht="25.5" customHeight="1">
      <c r="A64" s="1804"/>
      <c r="B64" s="1804"/>
      <c r="C64" s="214"/>
    </row>
    <row r="65" spans="1:6" ht="18.75" customHeight="1">
      <c r="A65" s="1804"/>
      <c r="B65" s="1804"/>
      <c r="C65" s="1804"/>
      <c r="D65" s="1804"/>
    </row>
    <row r="66" spans="1:6" ht="16.5" customHeight="1">
      <c r="A66" s="1804"/>
      <c r="C66" s="1804"/>
    </row>
    <row r="67" spans="1:6" ht="14.25" customHeight="1">
      <c r="A67" s="1804"/>
    </row>
    <row r="68" spans="1:6" ht="14.25" customHeight="1"/>
    <row r="69" spans="1:6" ht="14.25" customHeight="1">
      <c r="C69" s="1804"/>
      <c r="F69" s="1804"/>
    </row>
    <row r="70" spans="1:6" ht="14.25" customHeight="1"/>
    <row r="71" spans="1:6" ht="14.25" customHeight="1">
      <c r="C71" s="1804"/>
    </row>
    <row r="72" spans="1:6" ht="14.25" customHeight="1"/>
    <row r="73" spans="1:6" ht="14.25" customHeight="1"/>
    <row r="74" spans="1:6" ht="14.25" customHeight="1"/>
    <row r="75" spans="1:6" ht="14.25" customHeight="1"/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21.75" customHeight="1"/>
    <row r="94" ht="14.25" customHeight="1"/>
    <row r="97" ht="21" customHeight="1"/>
    <row r="98" ht="21" customHeight="1"/>
    <row r="131" ht="21" customHeight="1"/>
    <row r="132" ht="21" customHeight="1"/>
  </sheetData>
  <mergeCells count="33">
    <mergeCell ref="E62:F62"/>
    <mergeCell ref="C63:F63"/>
    <mergeCell ref="B58:D58"/>
    <mergeCell ref="G58:G59"/>
    <mergeCell ref="B59:D59"/>
    <mergeCell ref="B60:D60"/>
    <mergeCell ref="G60:G61"/>
    <mergeCell ref="B61:D61"/>
    <mergeCell ref="B54:D54"/>
    <mergeCell ref="G54:G55"/>
    <mergeCell ref="B55:D55"/>
    <mergeCell ref="B56:D56"/>
    <mergeCell ref="G56:G57"/>
    <mergeCell ref="B57:D57"/>
    <mergeCell ref="G52:G53"/>
    <mergeCell ref="B53:D53"/>
    <mergeCell ref="A1:F1"/>
    <mergeCell ref="A3:C3"/>
    <mergeCell ref="D3:F3"/>
    <mergeCell ref="E17:F17"/>
    <mergeCell ref="A46:F47"/>
    <mergeCell ref="A48:D48"/>
    <mergeCell ref="E48:F48"/>
    <mergeCell ref="G48:G49"/>
    <mergeCell ref="B49:C49"/>
    <mergeCell ref="B50:D50"/>
    <mergeCell ref="G50:G51"/>
    <mergeCell ref="B51:D51"/>
    <mergeCell ref="C35:F35"/>
    <mergeCell ref="C21:D21"/>
    <mergeCell ref="C19:F20"/>
    <mergeCell ref="E21:F21"/>
    <mergeCell ref="B52:D52"/>
  </mergeCells>
  <printOptions horizontalCentered="1" verticalCentered="1"/>
  <pageMargins left="0.25" right="0.25" top="0.75" bottom="0.75" header="0.3" footer="0.3"/>
  <pageSetup paperSize="9" scale="8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00B0F0"/>
  </sheetPr>
  <dimension ref="A1:E87"/>
  <sheetViews>
    <sheetView workbookViewId="0">
      <selection sqref="A1:D17"/>
    </sheetView>
  </sheetViews>
  <sheetFormatPr defaultColWidth="7" defaultRowHeight="15.75"/>
  <cols>
    <col min="1" max="1" width="18.375" style="1816" customWidth="1"/>
    <col min="2" max="2" width="26.125" style="1816" customWidth="1"/>
    <col min="3" max="3" width="10.75" style="1816" customWidth="1"/>
    <col min="4" max="4" width="30" style="1816" customWidth="1"/>
    <col min="5" max="5" width="11" style="1816" customWidth="1"/>
    <col min="6" max="16384" width="7" style="1816"/>
  </cols>
  <sheetData>
    <row r="1" spans="1:5" ht="15.75" customHeight="1">
      <c r="A1" s="3767" t="s">
        <v>1960</v>
      </c>
      <c r="B1" s="3767"/>
      <c r="C1" s="3767"/>
      <c r="D1" s="3767"/>
    </row>
    <row r="2" spans="1:5" ht="24" customHeight="1" thickBot="1">
      <c r="A2" s="3768"/>
      <c r="B2" s="3768"/>
      <c r="C2" s="3768"/>
      <c r="D2" s="3768"/>
      <c r="E2" s="1817"/>
    </row>
    <row r="3" spans="1:5" ht="23.25" customHeight="1" thickBot="1">
      <c r="A3" s="3765" t="s">
        <v>1961</v>
      </c>
      <c r="B3" s="3766"/>
      <c r="C3" s="3765" t="s">
        <v>1962</v>
      </c>
      <c r="D3" s="3766"/>
      <c r="E3" s="3789"/>
    </row>
    <row r="4" spans="1:5" ht="23.25" customHeight="1" thickBot="1">
      <c r="A4" s="1806" t="s">
        <v>1942</v>
      </c>
      <c r="B4" s="1818" t="s">
        <v>1958</v>
      </c>
      <c r="C4" s="1770" t="s">
        <v>1942</v>
      </c>
      <c r="D4" s="1808" t="s">
        <v>1943</v>
      </c>
      <c r="E4" s="3789"/>
    </row>
    <row r="5" spans="1:5" ht="23.25" customHeight="1">
      <c r="A5" s="1810">
        <v>324</v>
      </c>
      <c r="B5" s="1819" t="s">
        <v>1963</v>
      </c>
      <c r="C5" s="1810">
        <v>318</v>
      </c>
      <c r="D5" s="2510" t="s">
        <v>1214</v>
      </c>
      <c r="E5" s="3789"/>
    </row>
    <row r="6" spans="1:5" ht="23.25" customHeight="1">
      <c r="A6" s="1812">
        <v>238.17500000000001</v>
      </c>
      <c r="B6" s="1820" t="s">
        <v>1180</v>
      </c>
      <c r="C6" s="1812">
        <v>238</v>
      </c>
      <c r="D6" s="2511" t="s">
        <v>1964</v>
      </c>
      <c r="E6" s="3789"/>
    </row>
    <row r="7" spans="1:5" ht="23.25" customHeight="1">
      <c r="A7" s="1812">
        <v>196.99</v>
      </c>
      <c r="B7" s="1820" t="s">
        <v>1964</v>
      </c>
      <c r="C7" s="1812">
        <v>197</v>
      </c>
      <c r="D7" s="2511" t="s">
        <v>1965</v>
      </c>
      <c r="E7" s="3789"/>
    </row>
    <row r="8" spans="1:5" ht="23.25" customHeight="1">
      <c r="A8" s="1812">
        <v>177.17699999999999</v>
      </c>
      <c r="B8" s="1820" t="s">
        <v>1966</v>
      </c>
      <c r="C8" s="1812">
        <v>176</v>
      </c>
      <c r="D8" s="2511" t="s">
        <v>1180</v>
      </c>
      <c r="E8" s="3789"/>
    </row>
    <row r="9" spans="1:5" ht="23.25" customHeight="1">
      <c r="A9" s="1812">
        <v>171.072</v>
      </c>
      <c r="B9" s="1820" t="s">
        <v>1967</v>
      </c>
      <c r="C9" s="1812">
        <v>170</v>
      </c>
      <c r="D9" s="2511" t="s">
        <v>1967</v>
      </c>
      <c r="E9" s="3789"/>
    </row>
    <row r="10" spans="1:5" ht="23.25" customHeight="1">
      <c r="A10" s="1812">
        <v>134.86000000000001</v>
      </c>
      <c r="B10" s="1820" t="s">
        <v>1965</v>
      </c>
      <c r="C10" s="1812">
        <v>135</v>
      </c>
      <c r="D10" s="2511" t="s">
        <v>1966</v>
      </c>
      <c r="E10" s="3789"/>
    </row>
    <row r="11" spans="1:5" ht="23.25" customHeight="1">
      <c r="A11" s="1812">
        <v>96.728999999999999</v>
      </c>
      <c r="B11" s="1820" t="s">
        <v>1968</v>
      </c>
      <c r="C11" s="1812">
        <v>96</v>
      </c>
      <c r="D11" s="2511" t="s">
        <v>1969</v>
      </c>
      <c r="E11" s="3789"/>
    </row>
    <row r="12" spans="1:5" ht="23.25" customHeight="1" thickBot="1">
      <c r="A12" s="1812">
        <v>80.225999999999999</v>
      </c>
      <c r="B12" s="1820" t="s">
        <v>1970</v>
      </c>
      <c r="C12" s="1812">
        <v>80</v>
      </c>
      <c r="D12" s="2511" t="s">
        <v>1971</v>
      </c>
      <c r="E12" s="3789"/>
    </row>
    <row r="13" spans="1:5" ht="23.25" customHeight="1">
      <c r="A13" s="1812">
        <v>73.575000000000003</v>
      </c>
      <c r="B13" s="1819" t="s">
        <v>1214</v>
      </c>
      <c r="C13" s="1812">
        <v>74</v>
      </c>
      <c r="D13" s="2511" t="s">
        <v>1972</v>
      </c>
      <c r="E13" s="3789"/>
    </row>
    <row r="14" spans="1:5" ht="23.25" customHeight="1">
      <c r="A14" s="1812">
        <v>63.241999999999997</v>
      </c>
      <c r="B14" s="1820" t="s">
        <v>1972</v>
      </c>
      <c r="C14" s="1812">
        <v>63</v>
      </c>
      <c r="D14" s="2511" t="s">
        <v>1973</v>
      </c>
      <c r="E14" s="3789"/>
    </row>
    <row r="15" spans="1:5" ht="23.25" customHeight="1" thickBot="1">
      <c r="A15" s="1821">
        <v>1620</v>
      </c>
      <c r="B15" s="1822" t="s">
        <v>1956</v>
      </c>
      <c r="C15" s="1821">
        <v>1503</v>
      </c>
      <c r="D15" s="2512" t="s">
        <v>1956</v>
      </c>
      <c r="E15" s="3789"/>
    </row>
    <row r="16" spans="1:5" ht="23.25" customHeight="1" thickBot="1">
      <c r="A16" s="1823">
        <v>3176</v>
      </c>
      <c r="B16" s="1824" t="s">
        <v>281</v>
      </c>
      <c r="C16" s="1825">
        <v>3050</v>
      </c>
      <c r="D16" s="1826" t="s">
        <v>281</v>
      </c>
      <c r="E16" s="3789"/>
    </row>
    <row r="17" spans="1:5" ht="23.25" customHeight="1">
      <c r="A17" s="1827"/>
      <c r="B17" s="1827"/>
      <c r="C17" s="1828" t="s">
        <v>1959</v>
      </c>
      <c r="D17" s="1828"/>
      <c r="E17" s="1829"/>
    </row>
    <row r="18" spans="1:5" ht="23.25" customHeight="1">
      <c r="A18" s="1827"/>
      <c r="B18" s="214"/>
      <c r="C18" s="1829"/>
      <c r="D18" s="1829"/>
      <c r="E18" s="1829"/>
    </row>
    <row r="19" spans="1:5" ht="25.5" customHeight="1">
      <c r="A19" s="1827"/>
      <c r="B19" s="1827"/>
      <c r="C19" s="1827"/>
    </row>
    <row r="20" spans="1:5" ht="18.75" customHeight="1">
      <c r="A20" s="1827"/>
      <c r="B20" s="1827"/>
      <c r="C20" s="1827"/>
    </row>
    <row r="21" spans="1:5" ht="16.5" customHeight="1">
      <c r="A21" s="1827"/>
    </row>
    <row r="22" spans="1:5" ht="14.25" customHeight="1">
      <c r="A22" s="1827"/>
    </row>
    <row r="23" spans="1:5" ht="14.25" customHeight="1"/>
    <row r="24" spans="1:5" ht="14.25" customHeight="1">
      <c r="D24" s="1827"/>
    </row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21.75" customHeight="1"/>
    <row r="49" ht="14.25" customHeight="1"/>
    <row r="52" ht="21" customHeight="1"/>
    <row r="53" ht="21" customHeight="1"/>
    <row r="86" ht="21" customHeight="1"/>
    <row r="87" ht="21" customHeight="1"/>
  </sheetData>
  <mergeCells count="10">
    <mergeCell ref="E9:E10"/>
    <mergeCell ref="E11:E12"/>
    <mergeCell ref="E13:E14"/>
    <mergeCell ref="E15:E16"/>
    <mergeCell ref="A1:D2"/>
    <mergeCell ref="A3:B3"/>
    <mergeCell ref="C3:D3"/>
    <mergeCell ref="E3:E4"/>
    <mergeCell ref="E5:E6"/>
    <mergeCell ref="E7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00B0F0"/>
  </sheetPr>
  <dimension ref="A1:M32"/>
  <sheetViews>
    <sheetView rightToLeft="1" view="pageBreakPreview" zoomScale="85" zoomScaleNormal="100" zoomScaleSheetLayoutView="85" workbookViewId="0">
      <selection activeCell="L6" sqref="L6"/>
    </sheetView>
  </sheetViews>
  <sheetFormatPr defaultColWidth="6.875" defaultRowHeight="33.75" customHeight="1"/>
  <cols>
    <col min="1" max="1" width="48.125" style="19" customWidth="1"/>
    <col min="2" max="2" width="9.875" style="1838" customWidth="1"/>
    <col min="3" max="3" width="10.625" style="1838" bestFit="1" customWidth="1"/>
    <col min="4" max="4" width="10.375" style="1838" customWidth="1"/>
    <col min="5" max="5" width="9.75" style="1838" customWidth="1"/>
    <col min="6" max="6" width="9.875" style="1838" customWidth="1"/>
    <col min="7" max="7" width="8.75" style="265" customWidth="1"/>
    <col min="8" max="8" width="9.25" style="1830" customWidth="1"/>
    <col min="9" max="256" width="6.875" style="19"/>
    <col min="257" max="257" width="28.25" style="19" customWidth="1"/>
    <col min="258" max="258" width="34.125" style="19" customWidth="1"/>
    <col min="259" max="259" width="12.125" style="19" customWidth="1"/>
    <col min="260" max="260" width="10.625" style="19" customWidth="1"/>
    <col min="261" max="261" width="11.75" style="19" customWidth="1"/>
    <col min="262" max="262" width="10.25" style="19" customWidth="1"/>
    <col min="263" max="263" width="13.125" style="19" customWidth="1"/>
    <col min="264" max="264" width="16.25" style="19" customWidth="1"/>
    <col min="265" max="512" width="6.875" style="19"/>
    <col min="513" max="513" width="28.25" style="19" customWidth="1"/>
    <col min="514" max="514" width="34.125" style="19" customWidth="1"/>
    <col min="515" max="515" width="12.125" style="19" customWidth="1"/>
    <col min="516" max="516" width="10.625" style="19" customWidth="1"/>
    <col min="517" max="517" width="11.75" style="19" customWidth="1"/>
    <col min="518" max="518" width="10.25" style="19" customWidth="1"/>
    <col min="519" max="519" width="13.125" style="19" customWidth="1"/>
    <col min="520" max="520" width="16.25" style="19" customWidth="1"/>
    <col min="521" max="768" width="6.875" style="19"/>
    <col min="769" max="769" width="28.25" style="19" customWidth="1"/>
    <col min="770" max="770" width="34.125" style="19" customWidth="1"/>
    <col min="771" max="771" width="12.125" style="19" customWidth="1"/>
    <col min="772" max="772" width="10.625" style="19" customWidth="1"/>
    <col min="773" max="773" width="11.75" style="19" customWidth="1"/>
    <col min="774" max="774" width="10.25" style="19" customWidth="1"/>
    <col min="775" max="775" width="13.125" style="19" customWidth="1"/>
    <col min="776" max="776" width="16.25" style="19" customWidth="1"/>
    <col min="777" max="1024" width="6.875" style="19"/>
    <col min="1025" max="1025" width="28.25" style="19" customWidth="1"/>
    <col min="1026" max="1026" width="34.125" style="19" customWidth="1"/>
    <col min="1027" max="1027" width="12.125" style="19" customWidth="1"/>
    <col min="1028" max="1028" width="10.625" style="19" customWidth="1"/>
    <col min="1029" max="1029" width="11.75" style="19" customWidth="1"/>
    <col min="1030" max="1030" width="10.25" style="19" customWidth="1"/>
    <col min="1031" max="1031" width="13.125" style="19" customWidth="1"/>
    <col min="1032" max="1032" width="16.25" style="19" customWidth="1"/>
    <col min="1033" max="1280" width="6.875" style="19"/>
    <col min="1281" max="1281" width="28.25" style="19" customWidth="1"/>
    <col min="1282" max="1282" width="34.125" style="19" customWidth="1"/>
    <col min="1283" max="1283" width="12.125" style="19" customWidth="1"/>
    <col min="1284" max="1284" width="10.625" style="19" customWidth="1"/>
    <col min="1285" max="1285" width="11.75" style="19" customWidth="1"/>
    <col min="1286" max="1286" width="10.25" style="19" customWidth="1"/>
    <col min="1287" max="1287" width="13.125" style="19" customWidth="1"/>
    <col min="1288" max="1288" width="16.25" style="19" customWidth="1"/>
    <col min="1289" max="1536" width="6.875" style="19"/>
    <col min="1537" max="1537" width="28.25" style="19" customWidth="1"/>
    <col min="1538" max="1538" width="34.125" style="19" customWidth="1"/>
    <col min="1539" max="1539" width="12.125" style="19" customWidth="1"/>
    <col min="1540" max="1540" width="10.625" style="19" customWidth="1"/>
    <col min="1541" max="1541" width="11.75" style="19" customWidth="1"/>
    <col min="1542" max="1542" width="10.25" style="19" customWidth="1"/>
    <col min="1543" max="1543" width="13.125" style="19" customWidth="1"/>
    <col min="1544" max="1544" width="16.25" style="19" customWidth="1"/>
    <col min="1545" max="1792" width="6.875" style="19"/>
    <col min="1793" max="1793" width="28.25" style="19" customWidth="1"/>
    <col min="1794" max="1794" width="34.125" style="19" customWidth="1"/>
    <col min="1795" max="1795" width="12.125" style="19" customWidth="1"/>
    <col min="1796" max="1796" width="10.625" style="19" customWidth="1"/>
    <col min="1797" max="1797" width="11.75" style="19" customWidth="1"/>
    <col min="1798" max="1798" width="10.25" style="19" customWidth="1"/>
    <col min="1799" max="1799" width="13.125" style="19" customWidth="1"/>
    <col min="1800" max="1800" width="16.25" style="19" customWidth="1"/>
    <col min="1801" max="2048" width="6.875" style="19"/>
    <col min="2049" max="2049" width="28.25" style="19" customWidth="1"/>
    <col min="2050" max="2050" width="34.125" style="19" customWidth="1"/>
    <col min="2051" max="2051" width="12.125" style="19" customWidth="1"/>
    <col min="2052" max="2052" width="10.625" style="19" customWidth="1"/>
    <col min="2053" max="2053" width="11.75" style="19" customWidth="1"/>
    <col min="2054" max="2054" width="10.25" style="19" customWidth="1"/>
    <col min="2055" max="2055" width="13.125" style="19" customWidth="1"/>
    <col min="2056" max="2056" width="16.25" style="19" customWidth="1"/>
    <col min="2057" max="2304" width="6.875" style="19"/>
    <col min="2305" max="2305" width="28.25" style="19" customWidth="1"/>
    <col min="2306" max="2306" width="34.125" style="19" customWidth="1"/>
    <col min="2307" max="2307" width="12.125" style="19" customWidth="1"/>
    <col min="2308" max="2308" width="10.625" style="19" customWidth="1"/>
    <col min="2309" max="2309" width="11.75" style="19" customWidth="1"/>
    <col min="2310" max="2310" width="10.25" style="19" customWidth="1"/>
    <col min="2311" max="2311" width="13.125" style="19" customWidth="1"/>
    <col min="2312" max="2312" width="16.25" style="19" customWidth="1"/>
    <col min="2313" max="2560" width="6.875" style="19"/>
    <col min="2561" max="2561" width="28.25" style="19" customWidth="1"/>
    <col min="2562" max="2562" width="34.125" style="19" customWidth="1"/>
    <col min="2563" max="2563" width="12.125" style="19" customWidth="1"/>
    <col min="2564" max="2564" width="10.625" style="19" customWidth="1"/>
    <col min="2565" max="2565" width="11.75" style="19" customWidth="1"/>
    <col min="2566" max="2566" width="10.25" style="19" customWidth="1"/>
    <col min="2567" max="2567" width="13.125" style="19" customWidth="1"/>
    <col min="2568" max="2568" width="16.25" style="19" customWidth="1"/>
    <col min="2569" max="2816" width="6.875" style="19"/>
    <col min="2817" max="2817" width="28.25" style="19" customWidth="1"/>
    <col min="2818" max="2818" width="34.125" style="19" customWidth="1"/>
    <col min="2819" max="2819" width="12.125" style="19" customWidth="1"/>
    <col min="2820" max="2820" width="10.625" style="19" customWidth="1"/>
    <col min="2821" max="2821" width="11.75" style="19" customWidth="1"/>
    <col min="2822" max="2822" width="10.25" style="19" customWidth="1"/>
    <col min="2823" max="2823" width="13.125" style="19" customWidth="1"/>
    <col min="2824" max="2824" width="16.25" style="19" customWidth="1"/>
    <col min="2825" max="3072" width="6.875" style="19"/>
    <col min="3073" max="3073" width="28.25" style="19" customWidth="1"/>
    <col min="3074" max="3074" width="34.125" style="19" customWidth="1"/>
    <col min="3075" max="3075" width="12.125" style="19" customWidth="1"/>
    <col min="3076" max="3076" width="10.625" style="19" customWidth="1"/>
    <col min="3077" max="3077" width="11.75" style="19" customWidth="1"/>
    <col min="3078" max="3078" width="10.25" style="19" customWidth="1"/>
    <col min="3079" max="3079" width="13.125" style="19" customWidth="1"/>
    <col min="3080" max="3080" width="16.25" style="19" customWidth="1"/>
    <col min="3081" max="3328" width="6.875" style="19"/>
    <col min="3329" max="3329" width="28.25" style="19" customWidth="1"/>
    <col min="3330" max="3330" width="34.125" style="19" customWidth="1"/>
    <col min="3331" max="3331" width="12.125" style="19" customWidth="1"/>
    <col min="3332" max="3332" width="10.625" style="19" customWidth="1"/>
    <col min="3333" max="3333" width="11.75" style="19" customWidth="1"/>
    <col min="3334" max="3334" width="10.25" style="19" customWidth="1"/>
    <col min="3335" max="3335" width="13.125" style="19" customWidth="1"/>
    <col min="3336" max="3336" width="16.25" style="19" customWidth="1"/>
    <col min="3337" max="3584" width="6.875" style="19"/>
    <col min="3585" max="3585" width="28.25" style="19" customWidth="1"/>
    <col min="3586" max="3586" width="34.125" style="19" customWidth="1"/>
    <col min="3587" max="3587" width="12.125" style="19" customWidth="1"/>
    <col min="3588" max="3588" width="10.625" style="19" customWidth="1"/>
    <col min="3589" max="3589" width="11.75" style="19" customWidth="1"/>
    <col min="3590" max="3590" width="10.25" style="19" customWidth="1"/>
    <col min="3591" max="3591" width="13.125" style="19" customWidth="1"/>
    <col min="3592" max="3592" width="16.25" style="19" customWidth="1"/>
    <col min="3593" max="3840" width="6.875" style="19"/>
    <col min="3841" max="3841" width="28.25" style="19" customWidth="1"/>
    <col min="3842" max="3842" width="34.125" style="19" customWidth="1"/>
    <col min="3843" max="3843" width="12.125" style="19" customWidth="1"/>
    <col min="3844" max="3844" width="10.625" style="19" customWidth="1"/>
    <col min="3845" max="3845" width="11.75" style="19" customWidth="1"/>
    <col min="3846" max="3846" width="10.25" style="19" customWidth="1"/>
    <col min="3847" max="3847" width="13.125" style="19" customWidth="1"/>
    <col min="3848" max="3848" width="16.25" style="19" customWidth="1"/>
    <col min="3849" max="4096" width="6.875" style="19"/>
    <col min="4097" max="4097" width="28.25" style="19" customWidth="1"/>
    <col min="4098" max="4098" width="34.125" style="19" customWidth="1"/>
    <col min="4099" max="4099" width="12.125" style="19" customWidth="1"/>
    <col min="4100" max="4100" width="10.625" style="19" customWidth="1"/>
    <col min="4101" max="4101" width="11.75" style="19" customWidth="1"/>
    <col min="4102" max="4102" width="10.25" style="19" customWidth="1"/>
    <col min="4103" max="4103" width="13.125" style="19" customWidth="1"/>
    <col min="4104" max="4104" width="16.25" style="19" customWidth="1"/>
    <col min="4105" max="4352" width="6.875" style="19"/>
    <col min="4353" max="4353" width="28.25" style="19" customWidth="1"/>
    <col min="4354" max="4354" width="34.125" style="19" customWidth="1"/>
    <col min="4355" max="4355" width="12.125" style="19" customWidth="1"/>
    <col min="4356" max="4356" width="10.625" style="19" customWidth="1"/>
    <col min="4357" max="4357" width="11.75" style="19" customWidth="1"/>
    <col min="4358" max="4358" width="10.25" style="19" customWidth="1"/>
    <col min="4359" max="4359" width="13.125" style="19" customWidth="1"/>
    <col min="4360" max="4360" width="16.25" style="19" customWidth="1"/>
    <col min="4361" max="4608" width="6.875" style="19"/>
    <col min="4609" max="4609" width="28.25" style="19" customWidth="1"/>
    <col min="4610" max="4610" width="34.125" style="19" customWidth="1"/>
    <col min="4611" max="4611" width="12.125" style="19" customWidth="1"/>
    <col min="4612" max="4612" width="10.625" style="19" customWidth="1"/>
    <col min="4613" max="4613" width="11.75" style="19" customWidth="1"/>
    <col min="4614" max="4614" width="10.25" style="19" customWidth="1"/>
    <col min="4615" max="4615" width="13.125" style="19" customWidth="1"/>
    <col min="4616" max="4616" width="16.25" style="19" customWidth="1"/>
    <col min="4617" max="4864" width="6.875" style="19"/>
    <col min="4865" max="4865" width="28.25" style="19" customWidth="1"/>
    <col min="4866" max="4866" width="34.125" style="19" customWidth="1"/>
    <col min="4867" max="4867" width="12.125" style="19" customWidth="1"/>
    <col min="4868" max="4868" width="10.625" style="19" customWidth="1"/>
    <col min="4869" max="4869" width="11.75" style="19" customWidth="1"/>
    <col min="4870" max="4870" width="10.25" style="19" customWidth="1"/>
    <col min="4871" max="4871" width="13.125" style="19" customWidth="1"/>
    <col min="4872" max="4872" width="16.25" style="19" customWidth="1"/>
    <col min="4873" max="5120" width="6.875" style="19"/>
    <col min="5121" max="5121" width="28.25" style="19" customWidth="1"/>
    <col min="5122" max="5122" width="34.125" style="19" customWidth="1"/>
    <col min="5123" max="5123" width="12.125" style="19" customWidth="1"/>
    <col min="5124" max="5124" width="10.625" style="19" customWidth="1"/>
    <col min="5125" max="5125" width="11.75" style="19" customWidth="1"/>
    <col min="5126" max="5126" width="10.25" style="19" customWidth="1"/>
    <col min="5127" max="5127" width="13.125" style="19" customWidth="1"/>
    <col min="5128" max="5128" width="16.25" style="19" customWidth="1"/>
    <col min="5129" max="5376" width="6.875" style="19"/>
    <col min="5377" max="5377" width="28.25" style="19" customWidth="1"/>
    <col min="5378" max="5378" width="34.125" style="19" customWidth="1"/>
    <col min="5379" max="5379" width="12.125" style="19" customWidth="1"/>
    <col min="5380" max="5380" width="10.625" style="19" customWidth="1"/>
    <col min="5381" max="5381" width="11.75" style="19" customWidth="1"/>
    <col min="5382" max="5382" width="10.25" style="19" customWidth="1"/>
    <col min="5383" max="5383" width="13.125" style="19" customWidth="1"/>
    <col min="5384" max="5384" width="16.25" style="19" customWidth="1"/>
    <col min="5385" max="5632" width="6.875" style="19"/>
    <col min="5633" max="5633" width="28.25" style="19" customWidth="1"/>
    <col min="5634" max="5634" width="34.125" style="19" customWidth="1"/>
    <col min="5635" max="5635" width="12.125" style="19" customWidth="1"/>
    <col min="5636" max="5636" width="10.625" style="19" customWidth="1"/>
    <col min="5637" max="5637" width="11.75" style="19" customWidth="1"/>
    <col min="5638" max="5638" width="10.25" style="19" customWidth="1"/>
    <col min="5639" max="5639" width="13.125" style="19" customWidth="1"/>
    <col min="5640" max="5640" width="16.25" style="19" customWidth="1"/>
    <col min="5641" max="5888" width="6.875" style="19"/>
    <col min="5889" max="5889" width="28.25" style="19" customWidth="1"/>
    <col min="5890" max="5890" width="34.125" style="19" customWidth="1"/>
    <col min="5891" max="5891" width="12.125" style="19" customWidth="1"/>
    <col min="5892" max="5892" width="10.625" style="19" customWidth="1"/>
    <col min="5893" max="5893" width="11.75" style="19" customWidth="1"/>
    <col min="5894" max="5894" width="10.25" style="19" customWidth="1"/>
    <col min="5895" max="5895" width="13.125" style="19" customWidth="1"/>
    <col min="5896" max="5896" width="16.25" style="19" customWidth="1"/>
    <col min="5897" max="6144" width="6.875" style="19"/>
    <col min="6145" max="6145" width="28.25" style="19" customWidth="1"/>
    <col min="6146" max="6146" width="34.125" style="19" customWidth="1"/>
    <col min="6147" max="6147" width="12.125" style="19" customWidth="1"/>
    <col min="6148" max="6148" width="10.625" style="19" customWidth="1"/>
    <col min="6149" max="6149" width="11.75" style="19" customWidth="1"/>
    <col min="6150" max="6150" width="10.25" style="19" customWidth="1"/>
    <col min="6151" max="6151" width="13.125" style="19" customWidth="1"/>
    <col min="6152" max="6152" width="16.25" style="19" customWidth="1"/>
    <col min="6153" max="6400" width="6.875" style="19"/>
    <col min="6401" max="6401" width="28.25" style="19" customWidth="1"/>
    <col min="6402" max="6402" width="34.125" style="19" customWidth="1"/>
    <col min="6403" max="6403" width="12.125" style="19" customWidth="1"/>
    <col min="6404" max="6404" width="10.625" style="19" customWidth="1"/>
    <col min="6405" max="6405" width="11.75" style="19" customWidth="1"/>
    <col min="6406" max="6406" width="10.25" style="19" customWidth="1"/>
    <col min="6407" max="6407" width="13.125" style="19" customWidth="1"/>
    <col min="6408" max="6408" width="16.25" style="19" customWidth="1"/>
    <col min="6409" max="6656" width="6.875" style="19"/>
    <col min="6657" max="6657" width="28.25" style="19" customWidth="1"/>
    <col min="6658" max="6658" width="34.125" style="19" customWidth="1"/>
    <col min="6659" max="6659" width="12.125" style="19" customWidth="1"/>
    <col min="6660" max="6660" width="10.625" style="19" customWidth="1"/>
    <col min="6661" max="6661" width="11.75" style="19" customWidth="1"/>
    <col min="6662" max="6662" width="10.25" style="19" customWidth="1"/>
    <col min="6663" max="6663" width="13.125" style="19" customWidth="1"/>
    <col min="6664" max="6664" width="16.25" style="19" customWidth="1"/>
    <col min="6665" max="6912" width="6.875" style="19"/>
    <col min="6913" max="6913" width="28.25" style="19" customWidth="1"/>
    <col min="6914" max="6914" width="34.125" style="19" customWidth="1"/>
    <col min="6915" max="6915" width="12.125" style="19" customWidth="1"/>
    <col min="6916" max="6916" width="10.625" style="19" customWidth="1"/>
    <col min="6917" max="6917" width="11.75" style="19" customWidth="1"/>
    <col min="6918" max="6918" width="10.25" style="19" customWidth="1"/>
    <col min="6919" max="6919" width="13.125" style="19" customWidth="1"/>
    <col min="6920" max="6920" width="16.25" style="19" customWidth="1"/>
    <col min="6921" max="7168" width="6.875" style="19"/>
    <col min="7169" max="7169" width="28.25" style="19" customWidth="1"/>
    <col min="7170" max="7170" width="34.125" style="19" customWidth="1"/>
    <col min="7171" max="7171" width="12.125" style="19" customWidth="1"/>
    <col min="7172" max="7172" width="10.625" style="19" customWidth="1"/>
    <col min="7173" max="7173" width="11.75" style="19" customWidth="1"/>
    <col min="7174" max="7174" width="10.25" style="19" customWidth="1"/>
    <col min="7175" max="7175" width="13.125" style="19" customWidth="1"/>
    <col min="7176" max="7176" width="16.25" style="19" customWidth="1"/>
    <col min="7177" max="7424" width="6.875" style="19"/>
    <col min="7425" max="7425" width="28.25" style="19" customWidth="1"/>
    <col min="7426" max="7426" width="34.125" style="19" customWidth="1"/>
    <col min="7427" max="7427" width="12.125" style="19" customWidth="1"/>
    <col min="7428" max="7428" width="10.625" style="19" customWidth="1"/>
    <col min="7429" max="7429" width="11.75" style="19" customWidth="1"/>
    <col min="7430" max="7430" width="10.25" style="19" customWidth="1"/>
    <col min="7431" max="7431" width="13.125" style="19" customWidth="1"/>
    <col min="7432" max="7432" width="16.25" style="19" customWidth="1"/>
    <col min="7433" max="7680" width="6.875" style="19"/>
    <col min="7681" max="7681" width="28.25" style="19" customWidth="1"/>
    <col min="7682" max="7682" width="34.125" style="19" customWidth="1"/>
    <col min="7683" max="7683" width="12.125" style="19" customWidth="1"/>
    <col min="7684" max="7684" width="10.625" style="19" customWidth="1"/>
    <col min="7685" max="7685" width="11.75" style="19" customWidth="1"/>
    <col min="7686" max="7686" width="10.25" style="19" customWidth="1"/>
    <col min="7687" max="7687" width="13.125" style="19" customWidth="1"/>
    <col min="7688" max="7688" width="16.25" style="19" customWidth="1"/>
    <col min="7689" max="7936" width="6.875" style="19"/>
    <col min="7937" max="7937" width="28.25" style="19" customWidth="1"/>
    <col min="7938" max="7938" width="34.125" style="19" customWidth="1"/>
    <col min="7939" max="7939" width="12.125" style="19" customWidth="1"/>
    <col min="7940" max="7940" width="10.625" style="19" customWidth="1"/>
    <col min="7941" max="7941" width="11.75" style="19" customWidth="1"/>
    <col min="7942" max="7942" width="10.25" style="19" customWidth="1"/>
    <col min="7943" max="7943" width="13.125" style="19" customWidth="1"/>
    <col min="7944" max="7944" width="16.25" style="19" customWidth="1"/>
    <col min="7945" max="8192" width="6.875" style="19"/>
    <col min="8193" max="8193" width="28.25" style="19" customWidth="1"/>
    <col min="8194" max="8194" width="34.125" style="19" customWidth="1"/>
    <col min="8195" max="8195" width="12.125" style="19" customWidth="1"/>
    <col min="8196" max="8196" width="10.625" style="19" customWidth="1"/>
    <col min="8197" max="8197" width="11.75" style="19" customWidth="1"/>
    <col min="8198" max="8198" width="10.25" style="19" customWidth="1"/>
    <col min="8199" max="8199" width="13.125" style="19" customWidth="1"/>
    <col min="8200" max="8200" width="16.25" style="19" customWidth="1"/>
    <col min="8201" max="8448" width="6.875" style="19"/>
    <col min="8449" max="8449" width="28.25" style="19" customWidth="1"/>
    <col min="8450" max="8450" width="34.125" style="19" customWidth="1"/>
    <col min="8451" max="8451" width="12.125" style="19" customWidth="1"/>
    <col min="8452" max="8452" width="10.625" style="19" customWidth="1"/>
    <col min="8453" max="8453" width="11.75" style="19" customWidth="1"/>
    <col min="8454" max="8454" width="10.25" style="19" customWidth="1"/>
    <col min="8455" max="8455" width="13.125" style="19" customWidth="1"/>
    <col min="8456" max="8456" width="16.25" style="19" customWidth="1"/>
    <col min="8457" max="8704" width="6.875" style="19"/>
    <col min="8705" max="8705" width="28.25" style="19" customWidth="1"/>
    <col min="8706" max="8706" width="34.125" style="19" customWidth="1"/>
    <col min="8707" max="8707" width="12.125" style="19" customWidth="1"/>
    <col min="8708" max="8708" width="10.625" style="19" customWidth="1"/>
    <col min="8709" max="8709" width="11.75" style="19" customWidth="1"/>
    <col min="8710" max="8710" width="10.25" style="19" customWidth="1"/>
    <col min="8711" max="8711" width="13.125" style="19" customWidth="1"/>
    <col min="8712" max="8712" width="16.25" style="19" customWidth="1"/>
    <col min="8713" max="8960" width="6.875" style="19"/>
    <col min="8961" max="8961" width="28.25" style="19" customWidth="1"/>
    <col min="8962" max="8962" width="34.125" style="19" customWidth="1"/>
    <col min="8963" max="8963" width="12.125" style="19" customWidth="1"/>
    <col min="8964" max="8964" width="10.625" style="19" customWidth="1"/>
    <col min="8965" max="8965" width="11.75" style="19" customWidth="1"/>
    <col min="8966" max="8966" width="10.25" style="19" customWidth="1"/>
    <col min="8967" max="8967" width="13.125" style="19" customWidth="1"/>
    <col min="8968" max="8968" width="16.25" style="19" customWidth="1"/>
    <col min="8969" max="9216" width="6.875" style="19"/>
    <col min="9217" max="9217" width="28.25" style="19" customWidth="1"/>
    <col min="9218" max="9218" width="34.125" style="19" customWidth="1"/>
    <col min="9219" max="9219" width="12.125" style="19" customWidth="1"/>
    <col min="9220" max="9220" width="10.625" style="19" customWidth="1"/>
    <col min="9221" max="9221" width="11.75" style="19" customWidth="1"/>
    <col min="9222" max="9222" width="10.25" style="19" customWidth="1"/>
    <col min="9223" max="9223" width="13.125" style="19" customWidth="1"/>
    <col min="9224" max="9224" width="16.25" style="19" customWidth="1"/>
    <col min="9225" max="9472" width="6.875" style="19"/>
    <col min="9473" max="9473" width="28.25" style="19" customWidth="1"/>
    <col min="9474" max="9474" width="34.125" style="19" customWidth="1"/>
    <col min="9475" max="9475" width="12.125" style="19" customWidth="1"/>
    <col min="9476" max="9476" width="10.625" style="19" customWidth="1"/>
    <col min="9477" max="9477" width="11.75" style="19" customWidth="1"/>
    <col min="9478" max="9478" width="10.25" style="19" customWidth="1"/>
    <col min="9479" max="9479" width="13.125" style="19" customWidth="1"/>
    <col min="9480" max="9480" width="16.25" style="19" customWidth="1"/>
    <col min="9481" max="9728" width="6.875" style="19"/>
    <col min="9729" max="9729" width="28.25" style="19" customWidth="1"/>
    <col min="9730" max="9730" width="34.125" style="19" customWidth="1"/>
    <col min="9731" max="9731" width="12.125" style="19" customWidth="1"/>
    <col min="9732" max="9732" width="10.625" style="19" customWidth="1"/>
    <col min="9733" max="9733" width="11.75" style="19" customWidth="1"/>
    <col min="9734" max="9734" width="10.25" style="19" customWidth="1"/>
    <col min="9735" max="9735" width="13.125" style="19" customWidth="1"/>
    <col min="9736" max="9736" width="16.25" style="19" customWidth="1"/>
    <col min="9737" max="9984" width="6.875" style="19"/>
    <col min="9985" max="9985" width="28.25" style="19" customWidth="1"/>
    <col min="9986" max="9986" width="34.125" style="19" customWidth="1"/>
    <col min="9987" max="9987" width="12.125" style="19" customWidth="1"/>
    <col min="9988" max="9988" width="10.625" style="19" customWidth="1"/>
    <col min="9989" max="9989" width="11.75" style="19" customWidth="1"/>
    <col min="9990" max="9990" width="10.25" style="19" customWidth="1"/>
    <col min="9991" max="9991" width="13.125" style="19" customWidth="1"/>
    <col min="9992" max="9992" width="16.25" style="19" customWidth="1"/>
    <col min="9993" max="10240" width="6.875" style="19"/>
    <col min="10241" max="10241" width="28.25" style="19" customWidth="1"/>
    <col min="10242" max="10242" width="34.125" style="19" customWidth="1"/>
    <col min="10243" max="10243" width="12.125" style="19" customWidth="1"/>
    <col min="10244" max="10244" width="10.625" style="19" customWidth="1"/>
    <col min="10245" max="10245" width="11.75" style="19" customWidth="1"/>
    <col min="10246" max="10246" width="10.25" style="19" customWidth="1"/>
    <col min="10247" max="10247" width="13.125" style="19" customWidth="1"/>
    <col min="10248" max="10248" width="16.25" style="19" customWidth="1"/>
    <col min="10249" max="10496" width="6.875" style="19"/>
    <col min="10497" max="10497" width="28.25" style="19" customWidth="1"/>
    <col min="10498" max="10498" width="34.125" style="19" customWidth="1"/>
    <col min="10499" max="10499" width="12.125" style="19" customWidth="1"/>
    <col min="10500" max="10500" width="10.625" style="19" customWidth="1"/>
    <col min="10501" max="10501" width="11.75" style="19" customWidth="1"/>
    <col min="10502" max="10502" width="10.25" style="19" customWidth="1"/>
    <col min="10503" max="10503" width="13.125" style="19" customWidth="1"/>
    <col min="10504" max="10504" width="16.25" style="19" customWidth="1"/>
    <col min="10505" max="10752" width="6.875" style="19"/>
    <col min="10753" max="10753" width="28.25" style="19" customWidth="1"/>
    <col min="10754" max="10754" width="34.125" style="19" customWidth="1"/>
    <col min="10755" max="10755" width="12.125" style="19" customWidth="1"/>
    <col min="10756" max="10756" width="10.625" style="19" customWidth="1"/>
    <col min="10757" max="10757" width="11.75" style="19" customWidth="1"/>
    <col min="10758" max="10758" width="10.25" style="19" customWidth="1"/>
    <col min="10759" max="10759" width="13.125" style="19" customWidth="1"/>
    <col min="10760" max="10760" width="16.25" style="19" customWidth="1"/>
    <col min="10761" max="11008" width="6.875" style="19"/>
    <col min="11009" max="11009" width="28.25" style="19" customWidth="1"/>
    <col min="11010" max="11010" width="34.125" style="19" customWidth="1"/>
    <col min="11011" max="11011" width="12.125" style="19" customWidth="1"/>
    <col min="11012" max="11012" width="10.625" style="19" customWidth="1"/>
    <col min="11013" max="11013" width="11.75" style="19" customWidth="1"/>
    <col min="11014" max="11014" width="10.25" style="19" customWidth="1"/>
    <col min="11015" max="11015" width="13.125" style="19" customWidth="1"/>
    <col min="11016" max="11016" width="16.25" style="19" customWidth="1"/>
    <col min="11017" max="11264" width="6.875" style="19"/>
    <col min="11265" max="11265" width="28.25" style="19" customWidth="1"/>
    <col min="11266" max="11266" width="34.125" style="19" customWidth="1"/>
    <col min="11267" max="11267" width="12.125" style="19" customWidth="1"/>
    <col min="11268" max="11268" width="10.625" style="19" customWidth="1"/>
    <col min="11269" max="11269" width="11.75" style="19" customWidth="1"/>
    <col min="11270" max="11270" width="10.25" style="19" customWidth="1"/>
    <col min="11271" max="11271" width="13.125" style="19" customWidth="1"/>
    <col min="11272" max="11272" width="16.25" style="19" customWidth="1"/>
    <col min="11273" max="11520" width="6.875" style="19"/>
    <col min="11521" max="11521" width="28.25" style="19" customWidth="1"/>
    <col min="11522" max="11522" width="34.125" style="19" customWidth="1"/>
    <col min="11523" max="11523" width="12.125" style="19" customWidth="1"/>
    <col min="11524" max="11524" width="10.625" style="19" customWidth="1"/>
    <col min="11525" max="11525" width="11.75" style="19" customWidth="1"/>
    <col min="11526" max="11526" width="10.25" style="19" customWidth="1"/>
    <col min="11527" max="11527" width="13.125" style="19" customWidth="1"/>
    <col min="11528" max="11528" width="16.25" style="19" customWidth="1"/>
    <col min="11529" max="11776" width="6.875" style="19"/>
    <col min="11777" max="11777" width="28.25" style="19" customWidth="1"/>
    <col min="11778" max="11778" width="34.125" style="19" customWidth="1"/>
    <col min="11779" max="11779" width="12.125" style="19" customWidth="1"/>
    <col min="11780" max="11780" width="10.625" style="19" customWidth="1"/>
    <col min="11781" max="11781" width="11.75" style="19" customWidth="1"/>
    <col min="11782" max="11782" width="10.25" style="19" customWidth="1"/>
    <col min="11783" max="11783" width="13.125" style="19" customWidth="1"/>
    <col min="11784" max="11784" width="16.25" style="19" customWidth="1"/>
    <col min="11785" max="12032" width="6.875" style="19"/>
    <col min="12033" max="12033" width="28.25" style="19" customWidth="1"/>
    <col min="12034" max="12034" width="34.125" style="19" customWidth="1"/>
    <col min="12035" max="12035" width="12.125" style="19" customWidth="1"/>
    <col min="12036" max="12036" width="10.625" style="19" customWidth="1"/>
    <col min="12037" max="12037" width="11.75" style="19" customWidth="1"/>
    <col min="12038" max="12038" width="10.25" style="19" customWidth="1"/>
    <col min="12039" max="12039" width="13.125" style="19" customWidth="1"/>
    <col min="12040" max="12040" width="16.25" style="19" customWidth="1"/>
    <col min="12041" max="12288" width="6.875" style="19"/>
    <col min="12289" max="12289" width="28.25" style="19" customWidth="1"/>
    <col min="12290" max="12290" width="34.125" style="19" customWidth="1"/>
    <col min="12291" max="12291" width="12.125" style="19" customWidth="1"/>
    <col min="12292" max="12292" width="10.625" style="19" customWidth="1"/>
    <col min="12293" max="12293" width="11.75" style="19" customWidth="1"/>
    <col min="12294" max="12294" width="10.25" style="19" customWidth="1"/>
    <col min="12295" max="12295" width="13.125" style="19" customWidth="1"/>
    <col min="12296" max="12296" width="16.25" style="19" customWidth="1"/>
    <col min="12297" max="12544" width="6.875" style="19"/>
    <col min="12545" max="12545" width="28.25" style="19" customWidth="1"/>
    <col min="12546" max="12546" width="34.125" style="19" customWidth="1"/>
    <col min="12547" max="12547" width="12.125" style="19" customWidth="1"/>
    <col min="12548" max="12548" width="10.625" style="19" customWidth="1"/>
    <col min="12549" max="12549" width="11.75" style="19" customWidth="1"/>
    <col min="12550" max="12550" width="10.25" style="19" customWidth="1"/>
    <col min="12551" max="12551" width="13.125" style="19" customWidth="1"/>
    <col min="12552" max="12552" width="16.25" style="19" customWidth="1"/>
    <col min="12553" max="12800" width="6.875" style="19"/>
    <col min="12801" max="12801" width="28.25" style="19" customWidth="1"/>
    <col min="12802" max="12802" width="34.125" style="19" customWidth="1"/>
    <col min="12803" max="12803" width="12.125" style="19" customWidth="1"/>
    <col min="12804" max="12804" width="10.625" style="19" customWidth="1"/>
    <col min="12805" max="12805" width="11.75" style="19" customWidth="1"/>
    <col min="12806" max="12806" width="10.25" style="19" customWidth="1"/>
    <col min="12807" max="12807" width="13.125" style="19" customWidth="1"/>
    <col min="12808" max="12808" width="16.25" style="19" customWidth="1"/>
    <col min="12809" max="13056" width="6.875" style="19"/>
    <col min="13057" max="13057" width="28.25" style="19" customWidth="1"/>
    <col min="13058" max="13058" width="34.125" style="19" customWidth="1"/>
    <col min="13059" max="13059" width="12.125" style="19" customWidth="1"/>
    <col min="13060" max="13060" width="10.625" style="19" customWidth="1"/>
    <col min="13061" max="13061" width="11.75" style="19" customWidth="1"/>
    <col min="13062" max="13062" width="10.25" style="19" customWidth="1"/>
    <col min="13063" max="13063" width="13.125" style="19" customWidth="1"/>
    <col min="13064" max="13064" width="16.25" style="19" customWidth="1"/>
    <col min="13065" max="13312" width="6.875" style="19"/>
    <col min="13313" max="13313" width="28.25" style="19" customWidth="1"/>
    <col min="13314" max="13314" width="34.125" style="19" customWidth="1"/>
    <col min="13315" max="13315" width="12.125" style="19" customWidth="1"/>
    <col min="13316" max="13316" width="10.625" style="19" customWidth="1"/>
    <col min="13317" max="13317" width="11.75" style="19" customWidth="1"/>
    <col min="13318" max="13318" width="10.25" style="19" customWidth="1"/>
    <col min="13319" max="13319" width="13.125" style="19" customWidth="1"/>
    <col min="13320" max="13320" width="16.25" style="19" customWidth="1"/>
    <col min="13321" max="13568" width="6.875" style="19"/>
    <col min="13569" max="13569" width="28.25" style="19" customWidth="1"/>
    <col min="13570" max="13570" width="34.125" style="19" customWidth="1"/>
    <col min="13571" max="13571" width="12.125" style="19" customWidth="1"/>
    <col min="13572" max="13572" width="10.625" style="19" customWidth="1"/>
    <col min="13573" max="13573" width="11.75" style="19" customWidth="1"/>
    <col min="13574" max="13574" width="10.25" style="19" customWidth="1"/>
    <col min="13575" max="13575" width="13.125" style="19" customWidth="1"/>
    <col min="13576" max="13576" width="16.25" style="19" customWidth="1"/>
    <col min="13577" max="13824" width="6.875" style="19"/>
    <col min="13825" max="13825" width="28.25" style="19" customWidth="1"/>
    <col min="13826" max="13826" width="34.125" style="19" customWidth="1"/>
    <col min="13827" max="13827" width="12.125" style="19" customWidth="1"/>
    <col min="13828" max="13828" width="10.625" style="19" customWidth="1"/>
    <col min="13829" max="13829" width="11.75" style="19" customWidth="1"/>
    <col min="13830" max="13830" width="10.25" style="19" customWidth="1"/>
    <col min="13831" max="13831" width="13.125" style="19" customWidth="1"/>
    <col min="13832" max="13832" width="16.25" style="19" customWidth="1"/>
    <col min="13833" max="14080" width="6.875" style="19"/>
    <col min="14081" max="14081" width="28.25" style="19" customWidth="1"/>
    <col min="14082" max="14082" width="34.125" style="19" customWidth="1"/>
    <col min="14083" max="14083" width="12.125" style="19" customWidth="1"/>
    <col min="14084" max="14084" width="10.625" style="19" customWidth="1"/>
    <col min="14085" max="14085" width="11.75" style="19" customWidth="1"/>
    <col min="14086" max="14086" width="10.25" style="19" customWidth="1"/>
    <col min="14087" max="14087" width="13.125" style="19" customWidth="1"/>
    <col min="14088" max="14088" width="16.25" style="19" customWidth="1"/>
    <col min="14089" max="14336" width="6.875" style="19"/>
    <col min="14337" max="14337" width="28.25" style="19" customWidth="1"/>
    <col min="14338" max="14338" width="34.125" style="19" customWidth="1"/>
    <col min="14339" max="14339" width="12.125" style="19" customWidth="1"/>
    <col min="14340" max="14340" width="10.625" style="19" customWidth="1"/>
    <col min="14341" max="14341" width="11.75" style="19" customWidth="1"/>
    <col min="14342" max="14342" width="10.25" style="19" customWidth="1"/>
    <col min="14343" max="14343" width="13.125" style="19" customWidth="1"/>
    <col min="14344" max="14344" width="16.25" style="19" customWidth="1"/>
    <col min="14345" max="14592" width="6.875" style="19"/>
    <col min="14593" max="14593" width="28.25" style="19" customWidth="1"/>
    <col min="14594" max="14594" width="34.125" style="19" customWidth="1"/>
    <col min="14595" max="14595" width="12.125" style="19" customWidth="1"/>
    <col min="14596" max="14596" width="10.625" style="19" customWidth="1"/>
    <col min="14597" max="14597" width="11.75" style="19" customWidth="1"/>
    <col min="14598" max="14598" width="10.25" style="19" customWidth="1"/>
    <col min="14599" max="14599" width="13.125" style="19" customWidth="1"/>
    <col min="14600" max="14600" width="16.25" style="19" customWidth="1"/>
    <col min="14601" max="14848" width="6.875" style="19"/>
    <col min="14849" max="14849" width="28.25" style="19" customWidth="1"/>
    <col min="14850" max="14850" width="34.125" style="19" customWidth="1"/>
    <col min="14851" max="14851" width="12.125" style="19" customWidth="1"/>
    <col min="14852" max="14852" width="10.625" style="19" customWidth="1"/>
    <col min="14853" max="14853" width="11.75" style="19" customWidth="1"/>
    <col min="14854" max="14854" width="10.25" style="19" customWidth="1"/>
    <col min="14855" max="14855" width="13.125" style="19" customWidth="1"/>
    <col min="14856" max="14856" width="16.25" style="19" customWidth="1"/>
    <col min="14857" max="15104" width="6.875" style="19"/>
    <col min="15105" max="15105" width="28.25" style="19" customWidth="1"/>
    <col min="15106" max="15106" width="34.125" style="19" customWidth="1"/>
    <col min="15107" max="15107" width="12.125" style="19" customWidth="1"/>
    <col min="15108" max="15108" width="10.625" style="19" customWidth="1"/>
    <col min="15109" max="15109" width="11.75" style="19" customWidth="1"/>
    <col min="15110" max="15110" width="10.25" style="19" customWidth="1"/>
    <col min="15111" max="15111" width="13.125" style="19" customWidth="1"/>
    <col min="15112" max="15112" width="16.25" style="19" customWidth="1"/>
    <col min="15113" max="15360" width="6.875" style="19"/>
    <col min="15361" max="15361" width="28.25" style="19" customWidth="1"/>
    <col min="15362" max="15362" width="34.125" style="19" customWidth="1"/>
    <col min="15363" max="15363" width="12.125" style="19" customWidth="1"/>
    <col min="15364" max="15364" width="10.625" style="19" customWidth="1"/>
    <col min="15365" max="15365" width="11.75" style="19" customWidth="1"/>
    <col min="15366" max="15366" width="10.25" style="19" customWidth="1"/>
    <col min="15367" max="15367" width="13.125" style="19" customWidth="1"/>
    <col min="15368" max="15368" width="16.25" style="19" customWidth="1"/>
    <col min="15369" max="15616" width="6.875" style="19"/>
    <col min="15617" max="15617" width="28.25" style="19" customWidth="1"/>
    <col min="15618" max="15618" width="34.125" style="19" customWidth="1"/>
    <col min="15619" max="15619" width="12.125" style="19" customWidth="1"/>
    <col min="15620" max="15620" width="10.625" style="19" customWidth="1"/>
    <col min="15621" max="15621" width="11.75" style="19" customWidth="1"/>
    <col min="15622" max="15622" width="10.25" style="19" customWidth="1"/>
    <col min="15623" max="15623" width="13.125" style="19" customWidth="1"/>
    <col min="15624" max="15624" width="16.25" style="19" customWidth="1"/>
    <col min="15625" max="15872" width="6.875" style="19"/>
    <col min="15873" max="15873" width="28.25" style="19" customWidth="1"/>
    <col min="15874" max="15874" width="34.125" style="19" customWidth="1"/>
    <col min="15875" max="15875" width="12.125" style="19" customWidth="1"/>
    <col min="15876" max="15876" width="10.625" style="19" customWidth="1"/>
    <col min="15877" max="15877" width="11.75" style="19" customWidth="1"/>
    <col min="15878" max="15878" width="10.25" style="19" customWidth="1"/>
    <col min="15879" max="15879" width="13.125" style="19" customWidth="1"/>
    <col min="15880" max="15880" width="16.25" style="19" customWidth="1"/>
    <col min="15881" max="16128" width="6.875" style="19"/>
    <col min="16129" max="16129" width="28.25" style="19" customWidth="1"/>
    <col min="16130" max="16130" width="34.125" style="19" customWidth="1"/>
    <col min="16131" max="16131" width="12.125" style="19" customWidth="1"/>
    <col min="16132" max="16132" width="10.625" style="19" customWidth="1"/>
    <col min="16133" max="16133" width="11.75" style="19" customWidth="1"/>
    <col min="16134" max="16134" width="10.25" style="19" customWidth="1"/>
    <col min="16135" max="16135" width="13.125" style="19" customWidth="1"/>
    <col min="16136" max="16136" width="16.25" style="19" customWidth="1"/>
    <col min="16137" max="16384" width="6.875" style="19"/>
  </cols>
  <sheetData>
    <row r="1" spans="1:8" ht="33.75" customHeight="1">
      <c r="A1" s="2960" t="s">
        <v>2008</v>
      </c>
      <c r="B1" s="2960"/>
      <c r="C1" s="2960"/>
      <c r="D1" s="2960"/>
      <c r="E1" s="2960"/>
      <c r="F1" s="2960"/>
      <c r="G1" s="2960"/>
      <c r="H1" s="2960"/>
    </row>
    <row r="2" spans="1:8" ht="24" customHeight="1" thickBot="1">
      <c r="A2" s="3794" t="s">
        <v>1974</v>
      </c>
      <c r="B2" s="3794"/>
      <c r="C2" s="3794"/>
      <c r="D2" s="3794"/>
      <c r="E2" s="3794"/>
      <c r="F2" s="3794"/>
      <c r="G2" s="3794"/>
    </row>
    <row r="3" spans="1:8" ht="33.75" customHeight="1" thickBot="1">
      <c r="A3" s="3795" t="s">
        <v>1975</v>
      </c>
      <c r="B3" s="3795" t="s">
        <v>2003</v>
      </c>
      <c r="C3" s="3795" t="s">
        <v>1976</v>
      </c>
      <c r="D3" s="3795" t="s">
        <v>1977</v>
      </c>
      <c r="E3" s="3797"/>
      <c r="F3" s="3798"/>
      <c r="G3" s="3799" t="s">
        <v>1978</v>
      </c>
      <c r="H3" s="3801" t="s">
        <v>1979</v>
      </c>
    </row>
    <row r="4" spans="1:8" ht="33.75" customHeight="1" thickBot="1">
      <c r="A4" s="3796"/>
      <c r="B4" s="3796"/>
      <c r="C4" s="3796"/>
      <c r="D4" s="1841" t="s">
        <v>1980</v>
      </c>
      <c r="E4" s="1842" t="s">
        <v>1981</v>
      </c>
      <c r="F4" s="1843" t="s">
        <v>1982</v>
      </c>
      <c r="G4" s="3800"/>
      <c r="H4" s="3802"/>
    </row>
    <row r="5" spans="1:8" ht="33.75" customHeight="1">
      <c r="A5" s="1844" t="s">
        <v>1983</v>
      </c>
      <c r="B5" s="1832">
        <v>1500000</v>
      </c>
      <c r="C5" s="1833">
        <v>2493900</v>
      </c>
      <c r="D5" s="1833">
        <v>2310443</v>
      </c>
      <c r="E5" s="1833">
        <v>0</v>
      </c>
      <c r="F5" s="1833">
        <f t="shared" ref="F5:F26" si="0">+E5+D5</f>
        <v>2310443</v>
      </c>
      <c r="G5" s="1845">
        <f t="shared" ref="G5:G23" si="1">F5/B5</f>
        <v>1.5402953333333333</v>
      </c>
      <c r="H5" s="1846">
        <f t="shared" ref="H5:H27" si="2">F5/C5</f>
        <v>0.92643770800753844</v>
      </c>
    </row>
    <row r="6" spans="1:8" ht="33.75" customHeight="1">
      <c r="A6" s="1847" t="s">
        <v>1984</v>
      </c>
      <c r="B6" s="1834">
        <v>10132500</v>
      </c>
      <c r="C6" s="1835">
        <v>15007869</v>
      </c>
      <c r="D6" s="1835">
        <v>11722863</v>
      </c>
      <c r="E6" s="1835">
        <v>1556557</v>
      </c>
      <c r="F6" s="1835">
        <f t="shared" si="0"/>
        <v>13279420</v>
      </c>
      <c r="G6" s="1848">
        <f t="shared" si="1"/>
        <v>1.3105768566493956</v>
      </c>
      <c r="H6" s="1849">
        <f t="shared" si="2"/>
        <v>0.88483048459444846</v>
      </c>
    </row>
    <row r="7" spans="1:8" ht="33.75" customHeight="1">
      <c r="A7" s="1847" t="s">
        <v>1985</v>
      </c>
      <c r="B7" s="1834">
        <v>13720000</v>
      </c>
      <c r="C7" s="1835">
        <v>37661100</v>
      </c>
      <c r="D7" s="1835">
        <v>29632916</v>
      </c>
      <c r="E7" s="1835">
        <v>600000</v>
      </c>
      <c r="F7" s="1835">
        <f t="shared" si="0"/>
        <v>30232916</v>
      </c>
      <c r="G7" s="1848">
        <f t="shared" si="1"/>
        <v>2.2035653061224489</v>
      </c>
      <c r="H7" s="1849">
        <f t="shared" si="2"/>
        <v>0.80276242595144587</v>
      </c>
    </row>
    <row r="8" spans="1:8" ht="33.75" customHeight="1">
      <c r="A8" s="1847" t="s">
        <v>1986</v>
      </c>
      <c r="B8" s="1834">
        <v>770000</v>
      </c>
      <c r="C8" s="1835">
        <v>1513100</v>
      </c>
      <c r="D8" s="1835">
        <v>1163050</v>
      </c>
      <c r="E8" s="1835">
        <v>0</v>
      </c>
      <c r="F8" s="1835">
        <f t="shared" si="0"/>
        <v>1163050</v>
      </c>
      <c r="G8" s="1848">
        <f t="shared" si="1"/>
        <v>1.5104545454545455</v>
      </c>
      <c r="H8" s="1849">
        <f t="shared" si="2"/>
        <v>0.7686537571872315</v>
      </c>
    </row>
    <row r="9" spans="1:8" ht="33.75" customHeight="1">
      <c r="A9" s="1850" t="s">
        <v>1987</v>
      </c>
      <c r="B9" s="1834">
        <v>12000000</v>
      </c>
      <c r="C9" s="1835">
        <v>18751400</v>
      </c>
      <c r="D9" s="1835">
        <v>14800233</v>
      </c>
      <c r="E9" s="1835">
        <v>0</v>
      </c>
      <c r="F9" s="1835">
        <f t="shared" si="0"/>
        <v>14800233</v>
      </c>
      <c r="G9" s="1848">
        <f t="shared" si="1"/>
        <v>1.2333527500000001</v>
      </c>
      <c r="H9" s="1849">
        <f t="shared" si="2"/>
        <v>0.78928682658361504</v>
      </c>
    </row>
    <row r="10" spans="1:8" ht="33.75" customHeight="1">
      <c r="A10" s="1850" t="s">
        <v>1988</v>
      </c>
      <c r="B10" s="1834">
        <v>289500</v>
      </c>
      <c r="C10" s="1835">
        <v>1434000</v>
      </c>
      <c r="D10" s="1835">
        <v>117477</v>
      </c>
      <c r="E10" s="1835">
        <v>0</v>
      </c>
      <c r="F10" s="1835">
        <f t="shared" si="0"/>
        <v>117477</v>
      </c>
      <c r="G10" s="1848">
        <f t="shared" si="1"/>
        <v>0.40579274611398963</v>
      </c>
      <c r="H10" s="1849">
        <f t="shared" si="2"/>
        <v>8.1922594142259414E-2</v>
      </c>
    </row>
    <row r="11" spans="1:8" ht="33.75" customHeight="1">
      <c r="A11" s="1850" t="s">
        <v>1989</v>
      </c>
      <c r="B11" s="1834">
        <v>772960</v>
      </c>
      <c r="C11" s="1835">
        <v>772960</v>
      </c>
      <c r="D11" s="1835">
        <v>0</v>
      </c>
      <c r="E11" s="1835">
        <v>0</v>
      </c>
      <c r="F11" s="1835">
        <f t="shared" si="0"/>
        <v>0</v>
      </c>
      <c r="G11" s="1848">
        <f t="shared" si="1"/>
        <v>0</v>
      </c>
      <c r="H11" s="1849">
        <f t="shared" si="2"/>
        <v>0</v>
      </c>
    </row>
    <row r="12" spans="1:8" ht="33.75" customHeight="1">
      <c r="A12" s="1850" t="s">
        <v>1990</v>
      </c>
      <c r="B12" s="1834">
        <v>960</v>
      </c>
      <c r="C12" s="1835">
        <v>960</v>
      </c>
      <c r="D12" s="1835">
        <v>0</v>
      </c>
      <c r="E12" s="1835">
        <v>0</v>
      </c>
      <c r="F12" s="1835">
        <f t="shared" si="0"/>
        <v>0</v>
      </c>
      <c r="G12" s="1848">
        <f t="shared" si="1"/>
        <v>0</v>
      </c>
      <c r="H12" s="1849">
        <f t="shared" si="2"/>
        <v>0</v>
      </c>
    </row>
    <row r="13" spans="1:8" ht="26.25" customHeight="1">
      <c r="A13" s="1850" t="s">
        <v>1991</v>
      </c>
      <c r="B13" s="1834">
        <v>960</v>
      </c>
      <c r="C13" s="1835">
        <v>960</v>
      </c>
      <c r="D13" s="1835">
        <v>0</v>
      </c>
      <c r="E13" s="1835">
        <v>0</v>
      </c>
      <c r="F13" s="1835">
        <f t="shared" si="0"/>
        <v>0</v>
      </c>
      <c r="G13" s="1848">
        <f t="shared" si="1"/>
        <v>0</v>
      </c>
      <c r="H13" s="1849">
        <f t="shared" si="2"/>
        <v>0</v>
      </c>
    </row>
    <row r="14" spans="1:8" ht="26.25" customHeight="1">
      <c r="A14" s="1850" t="s">
        <v>1992</v>
      </c>
      <c r="B14" s="1834">
        <v>960</v>
      </c>
      <c r="C14" s="1835">
        <v>960</v>
      </c>
      <c r="D14" s="1835">
        <v>0</v>
      </c>
      <c r="E14" s="1835">
        <v>0</v>
      </c>
      <c r="F14" s="1835">
        <f t="shared" si="0"/>
        <v>0</v>
      </c>
      <c r="G14" s="1848">
        <f t="shared" si="1"/>
        <v>0</v>
      </c>
      <c r="H14" s="1849">
        <f t="shared" si="2"/>
        <v>0</v>
      </c>
    </row>
    <row r="15" spans="1:8" ht="26.25" customHeight="1">
      <c r="A15" s="1847" t="s">
        <v>1993</v>
      </c>
      <c r="B15" s="1834">
        <v>960</v>
      </c>
      <c r="C15" s="1835">
        <v>960</v>
      </c>
      <c r="D15" s="1835">
        <v>0</v>
      </c>
      <c r="E15" s="1835">
        <v>0</v>
      </c>
      <c r="F15" s="1835">
        <f t="shared" si="0"/>
        <v>0</v>
      </c>
      <c r="G15" s="1848">
        <f t="shared" si="1"/>
        <v>0</v>
      </c>
      <c r="H15" s="1849">
        <f t="shared" si="2"/>
        <v>0</v>
      </c>
    </row>
    <row r="16" spans="1:8" ht="26.25" customHeight="1">
      <c r="A16" s="1851" t="s">
        <v>2009</v>
      </c>
      <c r="B16" s="1834">
        <v>960</v>
      </c>
      <c r="C16" s="1835">
        <v>960</v>
      </c>
      <c r="D16" s="1835">
        <v>0</v>
      </c>
      <c r="E16" s="1835">
        <v>0</v>
      </c>
      <c r="F16" s="1835">
        <f t="shared" si="0"/>
        <v>0</v>
      </c>
      <c r="G16" s="1848">
        <f t="shared" si="1"/>
        <v>0</v>
      </c>
      <c r="H16" s="1849">
        <f t="shared" si="2"/>
        <v>0</v>
      </c>
    </row>
    <row r="17" spans="1:13" ht="30.75" customHeight="1">
      <c r="A17" s="1850" t="s">
        <v>1994</v>
      </c>
      <c r="B17" s="1834">
        <v>960</v>
      </c>
      <c r="C17" s="1835">
        <v>960</v>
      </c>
      <c r="D17" s="1835">
        <v>0</v>
      </c>
      <c r="E17" s="1835">
        <v>0</v>
      </c>
      <c r="F17" s="1835">
        <f t="shared" si="0"/>
        <v>0</v>
      </c>
      <c r="G17" s="1848">
        <f t="shared" si="1"/>
        <v>0</v>
      </c>
      <c r="H17" s="1849">
        <f t="shared" si="2"/>
        <v>0</v>
      </c>
    </row>
    <row r="18" spans="1:13" ht="30.75" customHeight="1">
      <c r="A18" s="1847" t="s">
        <v>1995</v>
      </c>
      <c r="B18" s="1834">
        <v>960</v>
      </c>
      <c r="C18" s="1835">
        <v>960</v>
      </c>
      <c r="D18" s="1835">
        <v>0</v>
      </c>
      <c r="E18" s="1835">
        <v>0</v>
      </c>
      <c r="F18" s="1835">
        <f t="shared" si="0"/>
        <v>0</v>
      </c>
      <c r="G18" s="1848">
        <f t="shared" si="1"/>
        <v>0</v>
      </c>
      <c r="H18" s="1849">
        <f t="shared" si="2"/>
        <v>0</v>
      </c>
    </row>
    <row r="19" spans="1:13" ht="30.75" customHeight="1">
      <c r="A19" s="1847" t="s">
        <v>1996</v>
      </c>
      <c r="B19" s="1834">
        <v>960</v>
      </c>
      <c r="C19" s="1835">
        <v>960</v>
      </c>
      <c r="D19" s="1835">
        <v>0</v>
      </c>
      <c r="E19" s="1835">
        <v>0</v>
      </c>
      <c r="F19" s="1835">
        <f t="shared" si="0"/>
        <v>0</v>
      </c>
      <c r="G19" s="1848">
        <f t="shared" si="1"/>
        <v>0</v>
      </c>
      <c r="H19" s="1849">
        <f t="shared" si="2"/>
        <v>0</v>
      </c>
    </row>
    <row r="20" spans="1:13" ht="30.75" customHeight="1">
      <c r="A20" s="1847" t="s">
        <v>1997</v>
      </c>
      <c r="B20" s="1834">
        <v>960</v>
      </c>
      <c r="C20" s="1835">
        <v>960</v>
      </c>
      <c r="D20" s="1835">
        <v>0</v>
      </c>
      <c r="E20" s="1835">
        <v>0</v>
      </c>
      <c r="F20" s="1835">
        <f t="shared" si="0"/>
        <v>0</v>
      </c>
      <c r="G20" s="1848">
        <f t="shared" si="1"/>
        <v>0</v>
      </c>
      <c r="H20" s="1849">
        <f t="shared" si="2"/>
        <v>0</v>
      </c>
    </row>
    <row r="21" spans="1:13" ht="30.75" customHeight="1">
      <c r="A21" s="1847" t="s">
        <v>1998</v>
      </c>
      <c r="B21" s="1834">
        <v>96500</v>
      </c>
      <c r="C21" s="1835">
        <v>96500</v>
      </c>
      <c r="D21" s="1835">
        <v>0</v>
      </c>
      <c r="E21" s="1835">
        <v>0</v>
      </c>
      <c r="F21" s="1835">
        <f t="shared" si="0"/>
        <v>0</v>
      </c>
      <c r="G21" s="1848">
        <f t="shared" si="1"/>
        <v>0</v>
      </c>
      <c r="H21" s="1849">
        <f t="shared" si="2"/>
        <v>0</v>
      </c>
    </row>
    <row r="22" spans="1:13" ht="30.75" customHeight="1">
      <c r="A22" s="1847" t="s">
        <v>1999</v>
      </c>
      <c r="B22" s="1834">
        <v>96500</v>
      </c>
      <c r="C22" s="1835">
        <v>96500</v>
      </c>
      <c r="D22" s="1835">
        <v>0</v>
      </c>
      <c r="E22" s="1835">
        <v>0</v>
      </c>
      <c r="F22" s="1835">
        <f t="shared" si="0"/>
        <v>0</v>
      </c>
      <c r="G22" s="1848">
        <f t="shared" si="1"/>
        <v>0</v>
      </c>
      <c r="H22" s="1849">
        <f t="shared" si="2"/>
        <v>0</v>
      </c>
    </row>
    <row r="23" spans="1:13" ht="30.75" customHeight="1">
      <c r="A23" s="1831" t="s">
        <v>2000</v>
      </c>
      <c r="B23" s="1836">
        <v>2103700</v>
      </c>
      <c r="C23" s="1835">
        <v>0</v>
      </c>
      <c r="D23" s="1835">
        <v>0</v>
      </c>
      <c r="E23" s="1835">
        <v>0</v>
      </c>
      <c r="F23" s="1835">
        <v>0</v>
      </c>
      <c r="G23" s="1848">
        <f t="shared" si="1"/>
        <v>0</v>
      </c>
      <c r="H23" s="1849">
        <f>-D230</f>
        <v>0</v>
      </c>
    </row>
    <row r="24" spans="1:13" ht="33.75" customHeight="1">
      <c r="A24" s="1847" t="s">
        <v>2010</v>
      </c>
      <c r="B24" s="1835">
        <v>0</v>
      </c>
      <c r="C24" s="1835">
        <v>2103700</v>
      </c>
      <c r="D24" s="1835">
        <v>0</v>
      </c>
      <c r="E24" s="1835">
        <v>0</v>
      </c>
      <c r="F24" s="1835">
        <f t="shared" si="0"/>
        <v>0</v>
      </c>
      <c r="G24" s="1848" t="s">
        <v>95</v>
      </c>
      <c r="H24" s="1849">
        <f t="shared" si="2"/>
        <v>0</v>
      </c>
    </row>
    <row r="25" spans="1:13" ht="33.75" customHeight="1">
      <c r="A25" s="1847" t="s">
        <v>2011</v>
      </c>
      <c r="B25" s="1835">
        <v>0</v>
      </c>
      <c r="C25" s="1835">
        <v>25000</v>
      </c>
      <c r="D25" s="1835">
        <v>0</v>
      </c>
      <c r="E25" s="1835">
        <v>0</v>
      </c>
      <c r="F25" s="1835">
        <f t="shared" si="0"/>
        <v>0</v>
      </c>
      <c r="G25" s="1848" t="s">
        <v>95</v>
      </c>
      <c r="H25" s="1849">
        <f t="shared" si="2"/>
        <v>0</v>
      </c>
    </row>
    <row r="26" spans="1:13" ht="33.75" customHeight="1" thickBot="1">
      <c r="A26" s="1852" t="s">
        <v>2012</v>
      </c>
      <c r="B26" s="1853">
        <v>0</v>
      </c>
      <c r="C26" s="1853">
        <v>5000</v>
      </c>
      <c r="D26" s="1853">
        <v>0</v>
      </c>
      <c r="E26" s="1853">
        <v>0</v>
      </c>
      <c r="F26" s="1853">
        <f t="shared" si="0"/>
        <v>0</v>
      </c>
      <c r="G26" s="1848" t="s">
        <v>95</v>
      </c>
      <c r="H26" s="1849">
        <f t="shared" si="2"/>
        <v>0</v>
      </c>
    </row>
    <row r="27" spans="1:13" s="299" customFormat="1" ht="22.5" customHeight="1" thickBot="1">
      <c r="A27" s="1854" t="s">
        <v>387</v>
      </c>
      <c r="B27" s="1855">
        <f>SUM(B5:B26)</f>
        <v>41490300</v>
      </c>
      <c r="C27" s="1855">
        <f>SUM(C5:C26)</f>
        <v>79969669</v>
      </c>
      <c r="D27" s="1855">
        <f>SUM(D5:D24)</f>
        <v>59746982</v>
      </c>
      <c r="E27" s="1856">
        <f>SUM(E5:E24)</f>
        <v>2156557</v>
      </c>
      <c r="F27" s="1857">
        <f>SUM(F5:F24)</f>
        <v>61903539</v>
      </c>
      <c r="G27" s="1858">
        <f>F27/B27</f>
        <v>1.492000274763017</v>
      </c>
      <c r="H27" s="1837">
        <f t="shared" si="2"/>
        <v>0.77408772318414876</v>
      </c>
    </row>
    <row r="28" spans="1:13" ht="16.5" customHeight="1">
      <c r="A28" s="3790" t="s">
        <v>2001</v>
      </c>
      <c r="B28" s="3790"/>
      <c r="C28" s="3790"/>
      <c r="D28" s="3790"/>
      <c r="E28" s="3790"/>
      <c r="F28" s="3790"/>
      <c r="G28" s="3790"/>
    </row>
    <row r="29" spans="1:13" ht="29.25" customHeight="1">
      <c r="A29" s="3791" t="s">
        <v>2007</v>
      </c>
      <c r="B29" s="3791"/>
      <c r="C29" s="3791"/>
      <c r="D29" s="3791"/>
      <c r="E29" s="3791"/>
      <c r="F29" s="3791"/>
      <c r="G29" s="3791"/>
    </row>
    <row r="30" spans="1:13" ht="33.75" customHeight="1">
      <c r="A30" s="3792" t="s">
        <v>2013</v>
      </c>
      <c r="B30" s="3792"/>
      <c r="C30" s="3792"/>
      <c r="D30" s="3792"/>
      <c r="E30" s="3792"/>
      <c r="F30" s="3792"/>
      <c r="G30" s="3792"/>
      <c r="K30" s="3793"/>
      <c r="L30" s="3793"/>
      <c r="M30" s="3793"/>
    </row>
    <row r="31" spans="1:13" ht="33.75" customHeight="1">
      <c r="D31" s="1839"/>
      <c r="E31" s="1839"/>
      <c r="F31" s="1839"/>
      <c r="K31" s="3793"/>
      <c r="L31" s="3793"/>
      <c r="M31" s="3793"/>
    </row>
    <row r="32" spans="1:13" ht="33.75" customHeight="1">
      <c r="K32" s="3793"/>
      <c r="L32" s="3793"/>
      <c r="M32" s="3793"/>
    </row>
  </sheetData>
  <mergeCells count="12">
    <mergeCell ref="A28:G28"/>
    <mergeCell ref="A29:G29"/>
    <mergeCell ref="A30:G30"/>
    <mergeCell ref="K30:M32"/>
    <mergeCell ref="A1:H1"/>
    <mergeCell ref="A2:G2"/>
    <mergeCell ref="A3:A4"/>
    <mergeCell ref="B3:B4"/>
    <mergeCell ref="C3:C4"/>
    <mergeCell ref="D3:F3"/>
    <mergeCell ref="G3:G4"/>
    <mergeCell ref="H3:H4"/>
  </mergeCells>
  <printOptions horizontalCentered="1" verticalCentered="1"/>
  <pageMargins left="0.31496062992125984" right="0.35433070866141736" top="0.82677165354330717" bottom="0.98425196850393704" header="0.51181102362204722" footer="0.51181102362204722"/>
  <pageSetup paperSize="9" scale="82" firstPageNumber="112" orientation="portrait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00B0F0"/>
  </sheetPr>
  <dimension ref="A20:L36"/>
  <sheetViews>
    <sheetView rightToLeft="1" view="pageBreakPreview" zoomScale="130" zoomScaleNormal="100" zoomScaleSheetLayoutView="130" workbookViewId="0">
      <selection activeCell="A23" sqref="A23"/>
    </sheetView>
  </sheetViews>
  <sheetFormatPr defaultColWidth="7" defaultRowHeight="15.75"/>
  <cols>
    <col min="1" max="1" width="5.875" style="19" customWidth="1"/>
    <col min="2" max="2" width="7" style="19" customWidth="1"/>
    <col min="3" max="3" width="10" style="19" customWidth="1"/>
    <col min="4" max="6" width="13.75" style="19" customWidth="1"/>
    <col min="7" max="7" width="3.625" style="19" customWidth="1"/>
    <col min="8" max="8" width="10.375" style="19" customWidth="1"/>
    <col min="9" max="9" width="7" style="19" customWidth="1"/>
    <col min="10" max="16384" width="7" style="19"/>
  </cols>
  <sheetData>
    <row r="20" spans="1:8" ht="21">
      <c r="A20" s="3813" t="s">
        <v>2002</v>
      </c>
      <c r="B20" s="3813"/>
      <c r="C20" s="3813"/>
      <c r="D20" s="3813"/>
      <c r="E20" s="3813"/>
      <c r="F20" s="3813"/>
      <c r="G20" s="3813"/>
      <c r="H20" s="3813"/>
    </row>
    <row r="21" spans="1:8" ht="16.5" thickBot="1">
      <c r="B21" s="3814" t="s">
        <v>1974</v>
      </c>
      <c r="C21" s="3814"/>
      <c r="D21" s="3814"/>
      <c r="E21" s="3814"/>
      <c r="F21" s="3814"/>
      <c r="G21" s="3814"/>
    </row>
    <row r="22" spans="1:8" ht="43.5" customHeight="1" thickBot="1">
      <c r="B22" s="3795" t="s">
        <v>283</v>
      </c>
      <c r="C22" s="3798"/>
      <c r="D22" s="1859" t="s">
        <v>2003</v>
      </c>
      <c r="E22" s="1859" t="s">
        <v>2004</v>
      </c>
      <c r="F22" s="1860" t="s">
        <v>2005</v>
      </c>
      <c r="G22" s="3815" t="s">
        <v>2006</v>
      </c>
      <c r="H22" s="3816"/>
    </row>
    <row r="23" spans="1:8" ht="21">
      <c r="B23" s="3817">
        <v>1393</v>
      </c>
      <c r="C23" s="3818"/>
      <c r="D23" s="1861">
        <v>5537233</v>
      </c>
      <c r="E23" s="1861">
        <v>20361176</v>
      </c>
      <c r="F23" s="1862">
        <v>11876040</v>
      </c>
      <c r="G23" s="3819">
        <f>F23/D23</f>
        <v>2.144760749637951</v>
      </c>
      <c r="H23" s="3820"/>
    </row>
    <row r="24" spans="1:8" ht="21">
      <c r="B24" s="3807">
        <v>1394</v>
      </c>
      <c r="C24" s="3808"/>
      <c r="D24" s="1863">
        <v>7679000</v>
      </c>
      <c r="E24" s="1863">
        <v>29352000</v>
      </c>
      <c r="F24" s="1864">
        <v>19350462</v>
      </c>
      <c r="G24" s="3809">
        <f t="shared" ref="G24:G31" si="0">F24/D24</f>
        <v>2.5199195207709337</v>
      </c>
      <c r="H24" s="3810"/>
    </row>
    <row r="25" spans="1:8" ht="21">
      <c r="B25" s="3807">
        <v>1395</v>
      </c>
      <c r="C25" s="3808"/>
      <c r="D25" s="1863">
        <v>7408390</v>
      </c>
      <c r="E25" s="1863">
        <v>35506790</v>
      </c>
      <c r="F25" s="1864">
        <v>21628239</v>
      </c>
      <c r="G25" s="3809">
        <f t="shared" si="0"/>
        <v>2.9194250032733158</v>
      </c>
      <c r="H25" s="3810"/>
    </row>
    <row r="26" spans="1:8" ht="21">
      <c r="B26" s="3807">
        <v>1396</v>
      </c>
      <c r="C26" s="3808"/>
      <c r="D26" s="1863">
        <v>22932445</v>
      </c>
      <c r="E26" s="1863">
        <v>33878986</v>
      </c>
      <c r="F26" s="1864">
        <v>28828004</v>
      </c>
      <c r="G26" s="3809">
        <f t="shared" si="0"/>
        <v>1.2570837518633535</v>
      </c>
      <c r="H26" s="3810"/>
    </row>
    <row r="27" spans="1:8" ht="21">
      <c r="B27" s="3807">
        <v>1397</v>
      </c>
      <c r="C27" s="3808"/>
      <c r="D27" s="1863">
        <v>16879474</v>
      </c>
      <c r="E27" s="1863">
        <v>20010459</v>
      </c>
      <c r="F27" s="1864">
        <v>18127210</v>
      </c>
      <c r="G27" s="3809">
        <f t="shared" si="0"/>
        <v>1.0739203129197035</v>
      </c>
      <c r="H27" s="3810"/>
    </row>
    <row r="28" spans="1:8" ht="21">
      <c r="B28" s="3807">
        <v>1398</v>
      </c>
      <c r="C28" s="3808"/>
      <c r="D28" s="1863">
        <v>9881895</v>
      </c>
      <c r="E28" s="1863">
        <v>23939837</v>
      </c>
      <c r="F28" s="1864">
        <v>15395885</v>
      </c>
      <c r="G28" s="3809">
        <f t="shared" si="0"/>
        <v>1.5579891306272735</v>
      </c>
      <c r="H28" s="3810"/>
    </row>
    <row r="29" spans="1:8" ht="21">
      <c r="B29" s="3807">
        <v>1399</v>
      </c>
      <c r="C29" s="3808"/>
      <c r="D29" s="1863">
        <v>12243825</v>
      </c>
      <c r="E29" s="1863">
        <v>25866576</v>
      </c>
      <c r="F29" s="1864">
        <v>18024170</v>
      </c>
      <c r="G29" s="3809">
        <f t="shared" si="0"/>
        <v>1.4721028763478734</v>
      </c>
      <c r="H29" s="3810"/>
    </row>
    <row r="30" spans="1:8" ht="21">
      <c r="B30" s="3807">
        <v>1400</v>
      </c>
      <c r="C30" s="3808"/>
      <c r="D30" s="1863">
        <v>19075000</v>
      </c>
      <c r="E30" s="1863">
        <v>38117869</v>
      </c>
      <c r="F30" s="1864">
        <v>33529598</v>
      </c>
      <c r="G30" s="3809">
        <f t="shared" si="0"/>
        <v>1.7577770904325032</v>
      </c>
      <c r="H30" s="3810"/>
    </row>
    <row r="31" spans="1:8" ht="21">
      <c r="B31" s="3807">
        <v>1401</v>
      </c>
      <c r="C31" s="3808"/>
      <c r="D31" s="1863">
        <v>29199034</v>
      </c>
      <c r="E31" s="1863">
        <v>73217442</v>
      </c>
      <c r="F31" s="1864">
        <v>31634715</v>
      </c>
      <c r="G31" s="3809">
        <f t="shared" si="0"/>
        <v>1.0834164924771141</v>
      </c>
      <c r="H31" s="3810"/>
    </row>
    <row r="32" spans="1:8" ht="21.75" thickBot="1">
      <c r="B32" s="3811">
        <v>1402</v>
      </c>
      <c r="C32" s="3812"/>
      <c r="D32" s="1840">
        <v>41490300</v>
      </c>
      <c r="E32" s="1865">
        <v>79969669</v>
      </c>
      <c r="F32" s="1865">
        <v>61903539</v>
      </c>
      <c r="G32" s="3809">
        <f t="shared" ref="G32" si="1">F32/D32</f>
        <v>1.492000274763017</v>
      </c>
      <c r="H32" s="3810"/>
    </row>
    <row r="33" spans="2:12">
      <c r="B33" s="3803" t="s">
        <v>2001</v>
      </c>
      <c r="C33" s="3803"/>
      <c r="D33" s="3803"/>
      <c r="E33" s="3803"/>
      <c r="F33" s="3803"/>
    </row>
    <row r="34" spans="2:12" ht="18">
      <c r="B34" s="3804" t="s">
        <v>2007</v>
      </c>
      <c r="C34" s="3804"/>
      <c r="D34" s="3804"/>
      <c r="E34" s="3804"/>
      <c r="F34" s="3804"/>
      <c r="G34" s="3804"/>
      <c r="H34" s="3804"/>
      <c r="I34" s="3804"/>
      <c r="J34" s="3793"/>
      <c r="K34" s="3793"/>
      <c r="L34" s="3793"/>
    </row>
    <row r="35" spans="2:12" ht="18">
      <c r="B35" s="3805" t="s">
        <v>2013</v>
      </c>
      <c r="C35" s="3805"/>
      <c r="D35" s="3805"/>
      <c r="E35" s="3805"/>
      <c r="F35" s="3805"/>
      <c r="G35" s="3805"/>
      <c r="H35" s="3805"/>
      <c r="I35" s="3805"/>
      <c r="J35" s="3793"/>
      <c r="K35" s="3793"/>
      <c r="L35" s="3793"/>
    </row>
    <row r="36" spans="2:12">
      <c r="B36" s="3806"/>
      <c r="C36" s="3806"/>
      <c r="D36" s="3806"/>
      <c r="E36" s="3806"/>
      <c r="F36" s="3806"/>
      <c r="G36" s="3806"/>
      <c r="H36" s="3806"/>
      <c r="J36" s="3793"/>
      <c r="K36" s="3793"/>
      <c r="L36" s="3793"/>
    </row>
  </sheetData>
  <mergeCells count="29">
    <mergeCell ref="A20:H20"/>
    <mergeCell ref="B21:G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F33"/>
    <mergeCell ref="B34:I34"/>
    <mergeCell ref="J34:L36"/>
    <mergeCell ref="B35:I35"/>
    <mergeCell ref="B36:H36"/>
  </mergeCells>
  <pageMargins left="0.59055118110236227" right="0.59055118110236227" top="0.98425196850393704" bottom="0.98425196850393704" header="0" footer="0"/>
  <pageSetup paperSize="9" firstPageNumber="11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95" baseType="lpstr">
      <vt:lpstr>18</vt:lpstr>
      <vt:lpstr>20</vt:lpstr>
      <vt:lpstr>22</vt:lpstr>
      <vt:lpstr>24</vt:lpstr>
      <vt:lpstr>27</vt:lpstr>
      <vt:lpstr>30</vt:lpstr>
      <vt:lpstr>31</vt:lpstr>
      <vt:lpstr>32</vt:lpstr>
      <vt:lpstr>33</vt:lpstr>
      <vt:lpstr>39</vt:lpstr>
      <vt:lpstr>40</vt:lpstr>
      <vt:lpstr>41</vt:lpstr>
      <vt:lpstr>42</vt:lpstr>
      <vt:lpstr>44</vt:lpstr>
      <vt:lpstr>46</vt:lpstr>
      <vt:lpstr>48</vt:lpstr>
      <vt:lpstr>49</vt:lpstr>
      <vt:lpstr>50</vt:lpstr>
      <vt:lpstr>52</vt:lpstr>
      <vt:lpstr>54</vt:lpstr>
      <vt:lpstr>55</vt:lpstr>
      <vt:lpstr>56 </vt:lpstr>
      <vt:lpstr>اهم دلایل باری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77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90j</vt:lpstr>
      <vt:lpstr>91</vt:lpstr>
      <vt:lpstr>91 (2)</vt:lpstr>
      <vt:lpstr>92</vt:lpstr>
      <vt:lpstr>93</vt:lpstr>
      <vt:lpstr>94</vt:lpstr>
      <vt:lpstr>95</vt:lpstr>
      <vt:lpstr>95 (2)</vt:lpstr>
      <vt:lpstr>96</vt:lpstr>
      <vt:lpstr>97j</vt:lpstr>
      <vt:lpstr>98j</vt:lpstr>
      <vt:lpstr>98 (2)</vt:lpstr>
      <vt:lpstr>100-103</vt:lpstr>
      <vt:lpstr>104</vt:lpstr>
      <vt:lpstr>105</vt:lpstr>
      <vt:lpstr>106j</vt:lpstr>
      <vt:lpstr>107</vt:lpstr>
      <vt:lpstr>106</vt:lpstr>
      <vt:lpstr>107 (2)</vt:lpstr>
      <vt:lpstr>111</vt:lpstr>
      <vt:lpstr>112</vt:lpstr>
      <vt:lpstr>115</vt:lpstr>
      <vt:lpstr>116</vt:lpstr>
      <vt:lpstr>122</vt:lpstr>
      <vt:lpstr>123</vt:lpstr>
      <vt:lpstr>128</vt:lpstr>
      <vt:lpstr>129</vt:lpstr>
      <vt:lpstr>129 (2)</vt:lpstr>
      <vt:lpstr>130</vt:lpstr>
      <vt:lpstr>130 (2)</vt:lpstr>
      <vt:lpstr>131</vt:lpstr>
      <vt:lpstr>132</vt:lpstr>
      <vt:lpstr>132(2)</vt:lpstr>
      <vt:lpstr>133</vt:lpstr>
      <vt:lpstr>134</vt:lpstr>
      <vt:lpstr>135</vt:lpstr>
      <vt:lpstr>135(2)</vt:lpstr>
      <vt:lpstr>95 (4)</vt:lpstr>
      <vt:lpstr>96 (3)</vt:lpstr>
      <vt:lpstr>47</vt:lpstr>
      <vt:lpstr>'20'!Print_Area</vt:lpstr>
      <vt:lpstr>'22'!Print_Area</vt:lpstr>
      <vt:lpstr>'64'!Print_Area</vt:lpstr>
      <vt:lpstr>'88'!Print_Area</vt:lpstr>
      <vt:lpstr>'95 (4)'!Print_Area</vt:lpstr>
      <vt:lpstr>'96 (3)'!Print_Area</vt:lpstr>
      <vt:lpstr>'98 (2)'!Print_Area</vt:lpstr>
      <vt:lpstr>'98j'!Print_Area</vt:lpstr>
      <vt:lpstr>'27'!Print_Titles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2024-10-07T06:45:12Z</dcterms:modified>
</cp:coreProperties>
</file>